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effd\OneDrive\Documents\00-attachments\Youth Center Space Program\"/>
    </mc:Choice>
  </mc:AlternateContent>
  <xr:revisionPtr revIDLastSave="0" documentId="8_{3F089B87-4748-4C5F-8F4E-04FAE3764408}" xr6:coauthVersionLast="47" xr6:coauthVersionMax="47" xr10:uidLastSave="{00000000-0000-0000-0000-000000000000}"/>
  <workbookProtection workbookPassword="CC22" lockStructure="1"/>
  <bookViews>
    <workbookView xWindow="3975" yWindow="2640" windowWidth="21600" windowHeight="11385" firstSheet="1" activeTab="1" xr2:uid="{D63A0CDF-3D22-4A2B-BDCD-598CC6045A49}"/>
  </bookViews>
  <sheets>
    <sheet name="Youth Center - Final 1" sheetId="3" state="hidden" r:id="rId1"/>
    <sheet name="Interactive Worksheet" sheetId="4" r:id="rId2"/>
  </sheets>
  <definedNames>
    <definedName name="_xlnm.Print_Area" localSheetId="1">'Interactive Worksheet'!$A$3:$G$57</definedName>
    <definedName name="_xlnm.Print_Area" localSheetId="0">'Youth Center - Final 1'!$A$1:$Q$89</definedName>
    <definedName name="_xlnm.Print_Titles" localSheetId="0">'Youth Center - Final 1'!$A:$E</definedName>
    <definedName name="Z_4168AAEC_F31C_43B7_A27F_D74D680BA6E9_.wvu.PrintTitles" localSheetId="0" hidden="1">'Youth Center - Final 1'!$B:$E,'Youth Center - Final 1'!$23:$24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 l="1"/>
  <c r="B9" i="4"/>
  <c r="B26" i="4"/>
  <c r="B27" i="4"/>
  <c r="B25" i="4"/>
  <c r="G20" i="4"/>
  <c r="B20" i="4"/>
  <c r="G30" i="4"/>
  <c r="F30" i="4"/>
  <c r="M33" i="4"/>
  <c r="L33" i="4"/>
  <c r="G33" i="4"/>
  <c r="F33" i="4" s="1"/>
  <c r="F36" i="4" s="1"/>
  <c r="G34" i="4"/>
  <c r="F34" i="4" s="1"/>
  <c r="G8" i="4"/>
  <c r="L11" i="4"/>
  <c r="M11" i="4"/>
  <c r="G11" i="4"/>
  <c r="G14" i="4"/>
  <c r="M18" i="4"/>
  <c r="L18" i="4"/>
  <c r="G18" i="4"/>
  <c r="G22" i="4"/>
  <c r="G24" i="4"/>
  <c r="G26" i="4"/>
  <c r="F26" i="4" s="1"/>
  <c r="G51" i="4"/>
  <c r="G43" i="4"/>
  <c r="G45" i="4"/>
  <c r="G47" i="4"/>
  <c r="G49" i="4"/>
  <c r="G53" i="4"/>
  <c r="A8" i="4"/>
  <c r="B46" i="4"/>
  <c r="B12" i="4"/>
  <c r="B47" i="4"/>
  <c r="B45" i="4"/>
  <c r="B43" i="4"/>
  <c r="A14" i="4"/>
  <c r="A11" i="4"/>
  <c r="B19" i="4"/>
  <c r="B51" i="4"/>
  <c r="A3" i="4"/>
  <c r="K80" i="3"/>
  <c r="K81" i="3"/>
  <c r="J78" i="3"/>
  <c r="J80" i="3" s="1"/>
  <c r="J79" i="3"/>
  <c r="G78" i="3"/>
  <c r="G79" i="3"/>
  <c r="H80" i="3"/>
  <c r="H81" i="3" s="1"/>
  <c r="S73" i="3"/>
  <c r="S75" i="3" s="1"/>
  <c r="S74" i="3"/>
  <c r="D84" i="3"/>
  <c r="C84" i="3" s="1"/>
  <c r="T75" i="3"/>
  <c r="T76" i="3"/>
  <c r="C87" i="3"/>
  <c r="P87" i="3"/>
  <c r="Q87" i="3"/>
  <c r="M87" i="3"/>
  <c r="N87" i="3"/>
  <c r="C86" i="3"/>
  <c r="J86" i="3" s="1"/>
  <c r="J88" i="3" s="1"/>
  <c r="P86" i="3"/>
  <c r="P88" i="3" s="1"/>
  <c r="Q86" i="3"/>
  <c r="N86" i="3"/>
  <c r="N88" i="3" s="1"/>
  <c r="J87" i="3"/>
  <c r="K87" i="3"/>
  <c r="K86" i="3"/>
  <c r="K88" i="3" s="1"/>
  <c r="G87" i="3"/>
  <c r="H87" i="3"/>
  <c r="G86" i="3"/>
  <c r="G88" i="3" s="1"/>
  <c r="H86" i="3"/>
  <c r="Q88" i="3"/>
  <c r="H88" i="3"/>
  <c r="B24" i="4"/>
  <c r="B22" i="4"/>
  <c r="B18" i="4"/>
  <c r="D24" i="4"/>
  <c r="D20" i="4"/>
  <c r="H54" i="3"/>
  <c r="H56" i="3"/>
  <c r="H57" i="3"/>
  <c r="H58" i="3"/>
  <c r="H59" i="3"/>
  <c r="H60" i="3"/>
  <c r="H61" i="3"/>
  <c r="H63" i="3" s="1"/>
  <c r="C49" i="3"/>
  <c r="P49" i="3" s="1"/>
  <c r="P50" i="3" s="1"/>
  <c r="Q49" i="3"/>
  <c r="N49" i="3"/>
  <c r="N50" i="3" s="1"/>
  <c r="K49" i="3"/>
  <c r="G49" i="3"/>
  <c r="G50" i="3" s="1"/>
  <c r="H49" i="3"/>
  <c r="Q44" i="3"/>
  <c r="Q45" i="3"/>
  <c r="Q46" i="3"/>
  <c r="Q47" i="3" s="1"/>
  <c r="C45" i="3"/>
  <c r="J45" i="3" s="1"/>
  <c r="C44" i="3"/>
  <c r="J44" i="3" s="1"/>
  <c r="M45" i="3"/>
  <c r="N45" i="3"/>
  <c r="N44" i="3"/>
  <c r="N46" i="3" s="1"/>
  <c r="K45" i="3"/>
  <c r="K44" i="3"/>
  <c r="K46" i="3" s="1"/>
  <c r="H45" i="3"/>
  <c r="G44" i="3"/>
  <c r="H44" i="3"/>
  <c r="H30" i="3"/>
  <c r="H33" i="3"/>
  <c r="H26" i="3"/>
  <c r="H28" i="3"/>
  <c r="H25" i="3" s="1"/>
  <c r="H38" i="3" s="1"/>
  <c r="H29" i="3"/>
  <c r="H31" i="3"/>
  <c r="D32" i="3"/>
  <c r="H32" i="3"/>
  <c r="H34" i="3"/>
  <c r="H35" i="3"/>
  <c r="H36" i="3"/>
  <c r="H37" i="3"/>
  <c r="C34" i="3"/>
  <c r="G34" i="3" s="1"/>
  <c r="P34" i="3"/>
  <c r="C33" i="3"/>
  <c r="G33" i="3" s="1"/>
  <c r="C32" i="3"/>
  <c r="M32" i="3" s="1"/>
  <c r="J33" i="3"/>
  <c r="J34" i="3"/>
  <c r="Q33" i="3"/>
  <c r="Q34" i="3"/>
  <c r="N33" i="3"/>
  <c r="N34" i="3"/>
  <c r="K33" i="3"/>
  <c r="K34" i="3"/>
  <c r="P33" i="3"/>
  <c r="M34" i="3"/>
  <c r="M33" i="3"/>
  <c r="H46" i="3"/>
  <c r="H47" i="3" s="1"/>
  <c r="K9" i="3"/>
  <c r="D19" i="3"/>
  <c r="C19" i="3"/>
  <c r="M19" i="3" s="1"/>
  <c r="M21" i="3" s="1"/>
  <c r="J19" i="3"/>
  <c r="J21" i="3" s="1"/>
  <c r="G19" i="3"/>
  <c r="H19" i="3"/>
  <c r="C12" i="3"/>
  <c r="G12" i="3" s="1"/>
  <c r="C13" i="3"/>
  <c r="G13" i="3" s="1"/>
  <c r="C14" i="3"/>
  <c r="G14" i="3"/>
  <c r="H12" i="3"/>
  <c r="H13" i="3"/>
  <c r="H14" i="3"/>
  <c r="H15" i="3" s="1"/>
  <c r="D5" i="3"/>
  <c r="H5" i="3" s="1"/>
  <c r="H8" i="3" s="1"/>
  <c r="H6" i="3"/>
  <c r="H7" i="3"/>
  <c r="C6" i="3"/>
  <c r="G6" i="3" s="1"/>
  <c r="C7" i="3"/>
  <c r="G7" i="3"/>
  <c r="N19" i="3"/>
  <c r="K19" i="3"/>
  <c r="F64" i="3"/>
  <c r="C20" i="3"/>
  <c r="K28" i="3"/>
  <c r="K26" i="3"/>
  <c r="K29" i="3"/>
  <c r="K25" i="3" s="1"/>
  <c r="K38" i="3" s="1"/>
  <c r="K30" i="3"/>
  <c r="Q54" i="3"/>
  <c r="C54" i="3"/>
  <c r="P54" i="3" s="1"/>
  <c r="N54" i="3"/>
  <c r="N61" i="3" s="1"/>
  <c r="K54" i="3"/>
  <c r="Q56" i="3"/>
  <c r="Q57" i="3"/>
  <c r="Q58" i="3"/>
  <c r="Q59" i="3"/>
  <c r="Q60" i="3"/>
  <c r="Q61" i="3"/>
  <c r="N56" i="3"/>
  <c r="N57" i="3"/>
  <c r="N58" i="3"/>
  <c r="N59" i="3"/>
  <c r="N60" i="3"/>
  <c r="K56" i="3"/>
  <c r="K57" i="3"/>
  <c r="K58" i="3"/>
  <c r="K59" i="3"/>
  <c r="K60" i="3"/>
  <c r="K61" i="3"/>
  <c r="K62" i="3" s="1"/>
  <c r="B34" i="4"/>
  <c r="B33" i="4"/>
  <c r="B32" i="4"/>
  <c r="H89" i="3"/>
  <c r="A41" i="4"/>
  <c r="K84" i="3"/>
  <c r="K31" i="3"/>
  <c r="K32" i="3"/>
  <c r="K35" i="3"/>
  <c r="K36" i="3"/>
  <c r="K37" i="3"/>
  <c r="H74" i="3"/>
  <c r="H75" i="3" s="1"/>
  <c r="A16" i="4"/>
  <c r="B49" i="4"/>
  <c r="F49" i="4"/>
  <c r="A49" i="4"/>
  <c r="F47" i="4"/>
  <c r="F45" i="4"/>
  <c r="F43" i="4"/>
  <c r="B30" i="4"/>
  <c r="A28" i="4"/>
  <c r="F53" i="4"/>
  <c r="F51" i="4"/>
  <c r="F24" i="4"/>
  <c r="F22" i="4"/>
  <c r="F20" i="4"/>
  <c r="F18" i="4"/>
  <c r="F14" i="4"/>
  <c r="F11" i="4"/>
  <c r="F8" i="4"/>
  <c r="C89" i="3"/>
  <c r="G89" i="3" s="1"/>
  <c r="Q31" i="3"/>
  <c r="Q32" i="3"/>
  <c r="Q35" i="3"/>
  <c r="Q36" i="3"/>
  <c r="Q37" i="3"/>
  <c r="Q26" i="3"/>
  <c r="Q25" i="3" s="1"/>
  <c r="Q38" i="3" s="1"/>
  <c r="Q28" i="3"/>
  <c r="Q29" i="3"/>
  <c r="Q30" i="3"/>
  <c r="D85" i="3"/>
  <c r="N85" i="3" s="1"/>
  <c r="N84" i="3"/>
  <c r="C83" i="3"/>
  <c r="M83" i="3" s="1"/>
  <c r="N74" i="3"/>
  <c r="N75" i="3"/>
  <c r="N76" i="3"/>
  <c r="M73" i="3"/>
  <c r="C74" i="3"/>
  <c r="J74" i="3" s="1"/>
  <c r="K74" i="3"/>
  <c r="K75" i="3"/>
  <c r="J73" i="3"/>
  <c r="G73" i="3"/>
  <c r="G74" i="3"/>
  <c r="G75" i="3" s="1"/>
  <c r="N68" i="3"/>
  <c r="C68" i="3"/>
  <c r="M68" i="3" s="1"/>
  <c r="N67" i="3"/>
  <c r="C67" i="3"/>
  <c r="M67" i="3"/>
  <c r="N66" i="3"/>
  <c r="C66" i="3"/>
  <c r="M66" i="3" s="1"/>
  <c r="N65" i="3"/>
  <c r="C65" i="3"/>
  <c r="G65" i="3" s="1"/>
  <c r="G69" i="3" s="1"/>
  <c r="N64" i="3"/>
  <c r="N69" i="3" s="1"/>
  <c r="C64" i="3"/>
  <c r="M64" i="3" s="1"/>
  <c r="M55" i="3"/>
  <c r="C60" i="3"/>
  <c r="M60" i="3"/>
  <c r="C59" i="3"/>
  <c r="M59" i="3" s="1"/>
  <c r="C58" i="3"/>
  <c r="M58" i="3"/>
  <c r="C57" i="3"/>
  <c r="G57" i="3" s="1"/>
  <c r="C56" i="3"/>
  <c r="M56" i="3" s="1"/>
  <c r="H50" i="3"/>
  <c r="K50" i="3"/>
  <c r="Q50" i="3"/>
  <c r="N20" i="3"/>
  <c r="N21" i="3" s="1"/>
  <c r="M20" i="3"/>
  <c r="P31" i="3"/>
  <c r="C35" i="3"/>
  <c r="P35" i="3"/>
  <c r="C36" i="3"/>
  <c r="P36" i="3"/>
  <c r="C37" i="3"/>
  <c r="P37" i="3" s="1"/>
  <c r="C26" i="3"/>
  <c r="P26" i="3" s="1"/>
  <c r="P27" i="3"/>
  <c r="C28" i="3"/>
  <c r="P28" i="3" s="1"/>
  <c r="C29" i="3"/>
  <c r="P29" i="3" s="1"/>
  <c r="C30" i="3"/>
  <c r="G30" i="3" s="1"/>
  <c r="N32" i="3"/>
  <c r="N35" i="3"/>
  <c r="N36" i="3"/>
  <c r="N37" i="3"/>
  <c r="N26" i="3"/>
  <c r="N28" i="3"/>
  <c r="N29" i="3"/>
  <c r="N25" i="3" s="1"/>
  <c r="N38" i="3" s="1"/>
  <c r="N30" i="3"/>
  <c r="M35" i="3"/>
  <c r="M36" i="3"/>
  <c r="M26" i="3"/>
  <c r="M27" i="3"/>
  <c r="M28" i="3"/>
  <c r="M29" i="3"/>
  <c r="J31" i="3"/>
  <c r="J35" i="3"/>
  <c r="J36" i="3"/>
  <c r="J26" i="3"/>
  <c r="J27" i="3"/>
  <c r="J29" i="3"/>
  <c r="J30" i="3"/>
  <c r="G31" i="3"/>
  <c r="G35" i="3"/>
  <c r="G36" i="3"/>
  <c r="G26" i="3"/>
  <c r="G27" i="3"/>
  <c r="G29" i="3"/>
  <c r="P73" i="3"/>
  <c r="G67" i="3"/>
  <c r="K64" i="3"/>
  <c r="K69" i="3" s="1"/>
  <c r="K65" i="3"/>
  <c r="K66" i="3"/>
  <c r="K67" i="3"/>
  <c r="K68" i="3"/>
  <c r="H64" i="3"/>
  <c r="H65" i="3"/>
  <c r="H69" i="3" s="1"/>
  <c r="H66" i="3"/>
  <c r="H67" i="3"/>
  <c r="H68" i="3"/>
  <c r="H62" i="3"/>
  <c r="K85" i="3"/>
  <c r="H85" i="3"/>
  <c r="Q74" i="3"/>
  <c r="Q76" i="3" s="1"/>
  <c r="Q75" i="3"/>
  <c r="P74" i="3"/>
  <c r="P75" i="3" s="1"/>
  <c r="K76" i="3"/>
  <c r="H84" i="3"/>
  <c r="G55" i="3"/>
  <c r="G56" i="3"/>
  <c r="G58" i="3"/>
  <c r="G59" i="3"/>
  <c r="G60" i="3"/>
  <c r="G83" i="3"/>
  <c r="Q78" i="3"/>
  <c r="Q80" i="3" s="1"/>
  <c r="Q79" i="3"/>
  <c r="P78" i="3"/>
  <c r="P80" i="3" s="1"/>
  <c r="P79" i="3"/>
  <c r="P64" i="3"/>
  <c r="P66" i="3"/>
  <c r="J64" i="3"/>
  <c r="J66" i="3"/>
  <c r="G64" i="3"/>
  <c r="G66" i="3"/>
  <c r="Q64" i="3"/>
  <c r="Q69" i="3" s="1"/>
  <c r="Q65" i="3"/>
  <c r="Q66" i="3"/>
  <c r="G68" i="3"/>
  <c r="Q67" i="3"/>
  <c r="Q68" i="3"/>
  <c r="P67" i="3"/>
  <c r="P68" i="3"/>
  <c r="P55" i="3"/>
  <c r="P56" i="3"/>
  <c r="P58" i="3"/>
  <c r="P60" i="3"/>
  <c r="J67" i="3"/>
  <c r="J68" i="3"/>
  <c r="J55" i="3"/>
  <c r="J56" i="3"/>
  <c r="J58" i="3"/>
  <c r="J60" i="3"/>
  <c r="C55" i="3"/>
  <c r="C25" i="3"/>
  <c r="K20" i="3"/>
  <c r="K21" i="3" s="1"/>
  <c r="J20" i="3"/>
  <c r="H20" i="3"/>
  <c r="H21" i="3"/>
  <c r="G20" i="3"/>
  <c r="G21" i="3" s="1"/>
  <c r="Q39" i="3" l="1"/>
  <c r="Q40" i="3" s="1"/>
  <c r="H16" i="3"/>
  <c r="H17" i="3"/>
  <c r="H39" i="3"/>
  <c r="H40" i="3"/>
  <c r="J46" i="3"/>
  <c r="G81" i="3"/>
  <c r="N39" i="3"/>
  <c r="N40" i="3" s="1"/>
  <c r="G15" i="3"/>
  <c r="N62" i="3"/>
  <c r="N63" i="3"/>
  <c r="H9" i="3"/>
  <c r="H10" i="3"/>
  <c r="G25" i="3"/>
  <c r="P61" i="3"/>
  <c r="K47" i="3"/>
  <c r="K48" i="3" s="1"/>
  <c r="P84" i="3"/>
  <c r="G84" i="3"/>
  <c r="J84" i="3"/>
  <c r="M84" i="3"/>
  <c r="K39" i="3"/>
  <c r="K40" i="3" s="1"/>
  <c r="M69" i="3"/>
  <c r="J75" i="3"/>
  <c r="J76" i="3" s="1"/>
  <c r="N47" i="3"/>
  <c r="N48" i="3"/>
  <c r="J83" i="3"/>
  <c r="G28" i="3"/>
  <c r="M30" i="3"/>
  <c r="M25" i="3" s="1"/>
  <c r="C5" i="3"/>
  <c r="G5" i="3" s="1"/>
  <c r="G8" i="3" s="1"/>
  <c r="H48" i="3"/>
  <c r="M86" i="3"/>
  <c r="M88" i="3" s="1"/>
  <c r="G80" i="3"/>
  <c r="J65" i="3"/>
  <c r="J69" i="3" s="1"/>
  <c r="P83" i="3"/>
  <c r="J28" i="3"/>
  <c r="J25" i="3" s="1"/>
  <c r="J38" i="3" s="1"/>
  <c r="P30" i="3"/>
  <c r="P25" i="3" s="1"/>
  <c r="P38" i="3" s="1"/>
  <c r="G54" i="3"/>
  <c r="G61" i="3" s="1"/>
  <c r="M44" i="3"/>
  <c r="M46" i="3" s="1"/>
  <c r="J49" i="3"/>
  <c r="J50" i="3" s="1"/>
  <c r="Q84" i="3"/>
  <c r="J59" i="3"/>
  <c r="J54" i="3"/>
  <c r="J57" i="3"/>
  <c r="P65" i="3"/>
  <c r="P69" i="3" s="1"/>
  <c r="P59" i="3"/>
  <c r="Q62" i="3"/>
  <c r="Q63" i="3" s="1"/>
  <c r="G37" i="3"/>
  <c r="C85" i="3"/>
  <c r="J32" i="3"/>
  <c r="P44" i="3"/>
  <c r="M49" i="3"/>
  <c r="M50" i="3" s="1"/>
  <c r="J81" i="3"/>
  <c r="Q48" i="3"/>
  <c r="P57" i="3"/>
  <c r="J37" i="3"/>
  <c r="P32" i="3"/>
  <c r="M74" i="3"/>
  <c r="M54" i="3"/>
  <c r="M61" i="3" s="1"/>
  <c r="G76" i="3"/>
  <c r="P76" i="3"/>
  <c r="M37" i="3"/>
  <c r="H76" i="3"/>
  <c r="G45" i="3"/>
  <c r="G46" i="3" s="1"/>
  <c r="P45" i="3"/>
  <c r="M57" i="3"/>
  <c r="M65" i="3"/>
  <c r="G32" i="3"/>
  <c r="G36" i="4"/>
  <c r="G39" i="4" s="1"/>
  <c r="K63" i="3"/>
  <c r="S76" i="3"/>
  <c r="F39" i="4" l="1"/>
  <c r="F56" i="4" s="1"/>
  <c r="G56" i="4"/>
  <c r="J39" i="3"/>
  <c r="J40" i="3"/>
  <c r="P39" i="3"/>
  <c r="P40" i="3"/>
  <c r="G38" i="3"/>
  <c r="P62" i="3"/>
  <c r="P63" i="3" s="1"/>
  <c r="G62" i="3"/>
  <c r="G63" i="3"/>
  <c r="M63" i="3"/>
  <c r="M62" i="3"/>
  <c r="J47" i="3"/>
  <c r="J48" i="3" s="1"/>
  <c r="J61" i="3"/>
  <c r="G9" i="3"/>
  <c r="G10" i="3"/>
  <c r="G16" i="3"/>
  <c r="G17" i="3" s="1"/>
  <c r="G47" i="3"/>
  <c r="G48" i="3"/>
  <c r="M38" i="3"/>
  <c r="M75" i="3"/>
  <c r="M76" i="3" s="1"/>
  <c r="G85" i="3"/>
  <c r="M85" i="3"/>
  <c r="J85" i="3"/>
  <c r="P46" i="3"/>
  <c r="M48" i="3"/>
  <c r="M47" i="3"/>
  <c r="G39" i="3" l="1"/>
  <c r="G40" i="3"/>
  <c r="M39" i="3"/>
  <c r="M40" i="3" s="1"/>
  <c r="J62" i="3"/>
  <c r="J63" i="3" s="1"/>
  <c r="P47" i="3"/>
  <c r="P4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 Mion</author>
  </authors>
  <commentList>
    <comment ref="E7" authorId="0" shapeId="0" xr:uid="{B7EE3692-B4EB-42A6-8CF4-1AC2233C02E9}">
      <text>
        <r>
          <rPr>
            <b/>
            <sz val="8"/>
            <color indexed="81"/>
            <rFont val="Tahoma"/>
            <family val="2"/>
          </rPr>
          <t>Eric Mion:</t>
        </r>
        <r>
          <rPr>
            <sz val="8"/>
            <color indexed="81"/>
            <rFont val="Tahoma"/>
            <family val="2"/>
          </rPr>
          <t xml:space="preserve">
driven by occupants--occupants determined by no. of SAC children.
</t>
        </r>
      </text>
    </comment>
    <comment ref="E14" authorId="0" shapeId="0" xr:uid="{9CA6FEE2-41A7-427D-9DAE-AA19696DC3F3}">
      <text>
        <r>
          <rPr>
            <b/>
            <sz val="8"/>
            <color indexed="81"/>
            <rFont val="Tahoma"/>
            <family val="2"/>
          </rPr>
          <t>Eric Mion:</t>
        </r>
        <r>
          <rPr>
            <sz val="8"/>
            <color indexed="81"/>
            <rFont val="Tahoma"/>
            <family val="2"/>
          </rPr>
          <t xml:space="preserve">
driven by occupants--occupants determined by no. of SAC children.
</t>
        </r>
      </text>
    </comment>
    <comment ref="E36" authorId="0" shapeId="0" xr:uid="{E69D2F71-3B7D-4776-995F-C617C1BA247C}">
      <text>
        <r>
          <rPr>
            <b/>
            <sz val="8"/>
            <color indexed="81"/>
            <rFont val="Tahoma"/>
            <family val="2"/>
          </rPr>
          <t>Eric Mion:</t>
        </r>
        <r>
          <rPr>
            <sz val="8"/>
            <color indexed="81"/>
            <rFont val="Tahoma"/>
            <family val="2"/>
          </rPr>
          <t xml:space="preserve">
driven by occupants--occupants determined by no. of Special Activity Rooms at 30 ppl per room.</t>
        </r>
      </text>
    </comment>
  </commentList>
</comments>
</file>

<file path=xl/sharedStrings.xml><?xml version="1.0" encoding="utf-8"?>
<sst xmlns="http://schemas.openxmlformats.org/spreadsheetml/2006/main" count="332" uniqueCount="170">
  <si>
    <t>Space Allocation Standard</t>
  </si>
  <si>
    <t>Functional Component</t>
  </si>
  <si>
    <t>Standard</t>
  </si>
  <si>
    <t>No.</t>
  </si>
  <si>
    <t>per staff member</t>
  </si>
  <si>
    <t>per room</t>
  </si>
  <si>
    <t>per person</t>
  </si>
  <si>
    <t xml:space="preserve"> Circulation and Mechanical Building Factor @</t>
  </si>
  <si>
    <t>Staff Parking</t>
  </si>
  <si>
    <t>per space</t>
  </si>
  <si>
    <t>Patron Parking</t>
  </si>
  <si>
    <t>Total Site Support</t>
  </si>
  <si>
    <r>
      <t>m</t>
    </r>
    <r>
      <rPr>
        <b/>
        <vertAlign val="superscript"/>
        <sz val="10"/>
        <rFont val="Arial"/>
        <family val="2"/>
      </rPr>
      <t>2</t>
    </r>
  </si>
  <si>
    <r>
      <t>ft.</t>
    </r>
    <r>
      <rPr>
        <b/>
        <vertAlign val="superscript"/>
        <sz val="10"/>
        <rFont val="Arial"/>
        <family val="2"/>
      </rPr>
      <t>2</t>
    </r>
  </si>
  <si>
    <t>Bicycle Racks</t>
  </si>
  <si>
    <t>per 10-bike Rack</t>
  </si>
  <si>
    <t>Break/Staff Training Room</t>
  </si>
  <si>
    <t>Storage</t>
  </si>
  <si>
    <t>Activity Room</t>
  </si>
  <si>
    <t>Shared Spaces</t>
  </si>
  <si>
    <t>Equipment Storage</t>
  </si>
  <si>
    <t>General Storage</t>
  </si>
  <si>
    <t>Lobby</t>
  </si>
  <si>
    <t>per storage room</t>
  </si>
  <si>
    <t>Site</t>
  </si>
  <si>
    <t>Laundry</t>
  </si>
  <si>
    <t>Game Area</t>
  </si>
  <si>
    <t>Building</t>
  </si>
  <si>
    <t>Total Building Net Area &amp; Support</t>
  </si>
  <si>
    <t>Total Building Gross Area &amp; Support</t>
  </si>
  <si>
    <t>per child</t>
  </si>
  <si>
    <t>Eating Area</t>
  </si>
  <si>
    <t>Select Service Branch:</t>
  </si>
  <si>
    <t>Army</t>
  </si>
  <si>
    <t>Navy</t>
  </si>
  <si>
    <t>Air Force</t>
  </si>
  <si>
    <t>Marine Corps</t>
  </si>
  <si>
    <t>None</t>
  </si>
  <si>
    <t>Yes</t>
  </si>
  <si>
    <t>No</t>
  </si>
  <si>
    <t>Snack Bar storage</t>
  </si>
  <si>
    <t>per machine</t>
  </si>
  <si>
    <t>Snack Bar</t>
  </si>
  <si>
    <t>per ????</t>
  </si>
  <si>
    <t>per storage area</t>
  </si>
  <si>
    <t>Copy/file Room</t>
  </si>
  <si>
    <t>Communications Room</t>
  </si>
  <si>
    <t>Service Drive/Trash</t>
  </si>
  <si>
    <t>Medium Core 1</t>
  </si>
  <si>
    <t>Large Core 1</t>
  </si>
  <si>
    <t>CORE 1 - SAC</t>
  </si>
  <si>
    <t>CORE 2 - YOUTH PROGRAM</t>
  </si>
  <si>
    <t>Lists for Select Boxes</t>
  </si>
  <si>
    <t>Service Exceptions</t>
  </si>
  <si>
    <t>per teen</t>
  </si>
  <si>
    <t>per water closet/lav.</t>
  </si>
  <si>
    <t>CORE 3 - TEEN SPACE</t>
  </si>
  <si>
    <t>SHARED ADMIN SPACES (not incl. OFFICES)</t>
  </si>
  <si>
    <t>OTHER OR OPTIONAL SPACES</t>
  </si>
  <si>
    <t>Small Admin</t>
  </si>
  <si>
    <t>Medium Admin</t>
  </si>
  <si>
    <t>Large Admin</t>
  </si>
  <si>
    <t>1 room</t>
  </si>
  <si>
    <t>Music Rooms</t>
  </si>
  <si>
    <t>2 rooms</t>
  </si>
  <si>
    <t>3 rooms</t>
  </si>
  <si>
    <t>Private offices</t>
  </si>
  <si>
    <t>per area</t>
  </si>
  <si>
    <t>Outdoor Open Area</t>
  </si>
  <si>
    <t>building factors built-in</t>
  </si>
  <si>
    <t>None known</t>
  </si>
  <si>
    <t>Workstations</t>
  </si>
  <si>
    <t>TOTAL GROSS SITE SUPPORT</t>
  </si>
  <si>
    <t>TOTAL GROSS BUILDING</t>
  </si>
  <si>
    <t>TOTAL GROSS FACILITY (BUILDING + SITE SUPPORT)</t>
  </si>
  <si>
    <t>Bldg</t>
  </si>
  <si>
    <t>S</t>
  </si>
  <si>
    <t>per Patio</t>
  </si>
  <si>
    <t>Army/Air Force/Marine Corps SAC</t>
  </si>
  <si>
    <t>Navy uses 35 sf/child and deletes additional SAC toilet (combines w/ Youth)</t>
  </si>
  <si>
    <t>per room (2 ratio groups)</t>
  </si>
  <si>
    <t>Navy SAC</t>
  </si>
  <si>
    <t>Extra Large Core 1</t>
  </si>
  <si>
    <t>Extra Large Admin</t>
  </si>
  <si>
    <t>Single Room Standard</t>
  </si>
  <si>
    <t>per person (per code)</t>
  </si>
  <si>
    <t>General or Special Activity Room</t>
  </si>
  <si>
    <t>Control/Check-in</t>
  </si>
  <si>
    <t>Half Court w/o Bleachers</t>
  </si>
  <si>
    <t>Half Court w/ Bleachers</t>
  </si>
  <si>
    <t>Full Court w/ Bleachers</t>
  </si>
  <si>
    <t>NCAA Full Court w/ Bleach</t>
  </si>
  <si>
    <t>Open Outdoor Area</t>
  </si>
  <si>
    <t>If SAC is greater than 0, this is an option. If SAC is 0, this is mandatory</t>
  </si>
  <si>
    <t>Pick-up/Drop-off/Bus Lane</t>
  </si>
  <si>
    <t>Outdoor Activity Area (OAA)</t>
  </si>
  <si>
    <t>Up to 15 Teens</t>
  </si>
  <si>
    <t>31 to 45 Teens</t>
  </si>
  <si>
    <t>46 to 60 Teens</t>
  </si>
  <si>
    <t>16 to 30 Teens</t>
  </si>
  <si>
    <t>Up to 60 Youth</t>
  </si>
  <si>
    <t>61 to 90 Youth</t>
  </si>
  <si>
    <t>91 to 135 Youth</t>
  </si>
  <si>
    <t>136 to 155 Youth</t>
  </si>
  <si>
    <t>2. Half-court w/o bleachers</t>
  </si>
  <si>
    <t>3. Half-court w/ bleachers</t>
  </si>
  <si>
    <t>4. Full-court w/ bleachers</t>
  </si>
  <si>
    <t>5. NCAA full-ct w/ bleachers</t>
  </si>
  <si>
    <t>Activity Room Storage</t>
  </si>
  <si>
    <t>Teen Patio</t>
  </si>
  <si>
    <t>Activity Room Storage (Navy)</t>
  </si>
  <si>
    <t>Teen Room</t>
  </si>
  <si>
    <t>per youth</t>
  </si>
  <si>
    <t>per OAA</t>
  </si>
  <si>
    <t>Small</t>
  </si>
  <si>
    <t>Medium</t>
  </si>
  <si>
    <t>Large</t>
  </si>
  <si>
    <t>Extra Large</t>
  </si>
  <si>
    <t>Multipurpose Room</t>
  </si>
  <si>
    <t>One-washer Room</t>
  </si>
  <si>
    <t>Two-washer Room</t>
  </si>
  <si>
    <t>1. Small multipurpose room</t>
  </si>
  <si>
    <t>Youth Outdoor Activity Subtotal</t>
  </si>
  <si>
    <t>Youth Outdoor Activity Area</t>
  </si>
  <si>
    <t>This area will accommodate either a full-sized, regulation soccer field or a little-legue baseball field.</t>
  </si>
  <si>
    <t>Small Multipurpose Room</t>
  </si>
  <si>
    <t>AF &amp; MC</t>
  </si>
  <si>
    <t>Army &amp; Navy</t>
  </si>
  <si>
    <t>Small Kitchen</t>
  </si>
  <si>
    <t xml:space="preserve"> Kitchen Subtotal</t>
  </si>
  <si>
    <t>Kitchen Storage (dry and cold)</t>
  </si>
  <si>
    <t>Multipurpose Rm Subtotal</t>
  </si>
  <si>
    <t>Other/Optional Spaces</t>
  </si>
  <si>
    <t>Not permitted for Navy</t>
  </si>
  <si>
    <t>Service Exception Notes</t>
  </si>
  <si>
    <t>See * for Exceptions</t>
  </si>
  <si>
    <t>Navy uses a small storage closet, and Army, AF, MC use a large storage closet.</t>
  </si>
  <si>
    <t>ENTER PROJECT NAME 
AND INFORMATION:</t>
  </si>
  <si>
    <t>Admin. Site Support</t>
  </si>
  <si>
    <t>Subtotal Admin. Area and Offices</t>
  </si>
  <si>
    <t>General Admin. Area</t>
  </si>
  <si>
    <r>
      <t xml:space="preserve"> Gross m</t>
    </r>
    <r>
      <rPr>
        <b/>
        <vertAlign val="superscript"/>
        <sz val="10.5"/>
        <rFont val="Arial Narrow"/>
        <family val="2"/>
      </rPr>
      <t>2</t>
    </r>
  </si>
  <si>
    <r>
      <t>Gross ft.</t>
    </r>
    <r>
      <rPr>
        <b/>
        <vertAlign val="superscript"/>
        <sz val="10.5"/>
        <rFont val="Arial Narrow"/>
        <family val="2"/>
      </rPr>
      <t>2</t>
    </r>
  </si>
  <si>
    <t>One OAA</t>
  </si>
  <si>
    <t>Two OAA</t>
  </si>
  <si>
    <t>Three OAA</t>
  </si>
  <si>
    <t>Storage for Outdoor Equip.</t>
  </si>
  <si>
    <t>SAC toilets</t>
  </si>
  <si>
    <r>
      <t xml:space="preserve">Homework/Computer Room </t>
    </r>
    <r>
      <rPr>
        <vertAlign val="superscript"/>
        <sz val="9"/>
        <rFont val="Arial"/>
        <family val="2"/>
      </rPr>
      <t>2</t>
    </r>
  </si>
  <si>
    <r>
      <t xml:space="preserve">Vending Area </t>
    </r>
    <r>
      <rPr>
        <vertAlign val="superscript"/>
        <sz val="9"/>
        <rFont val="Arial"/>
        <family val="2"/>
      </rPr>
      <t>1</t>
    </r>
  </si>
  <si>
    <t>Youth Toilets</t>
  </si>
  <si>
    <t>Commons</t>
  </si>
  <si>
    <t>sum of below + 10% factor</t>
  </si>
  <si>
    <r>
      <t xml:space="preserve">per rec unit </t>
    </r>
    <r>
      <rPr>
        <vertAlign val="superscript"/>
        <sz val="9"/>
        <rFont val="Arial"/>
        <family val="2"/>
      </rPr>
      <t>3</t>
    </r>
  </si>
  <si>
    <r>
      <t xml:space="preserve">Staff/Vis. Toilets (M/F)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>/Jan. closet</t>
    </r>
  </si>
  <si>
    <t>Laundry (incl. 20% bldg fac)</t>
  </si>
  <si>
    <r>
      <t xml:space="preserve">Multipurpose Room </t>
    </r>
    <r>
      <rPr>
        <vertAlign val="superscript"/>
        <sz val="9"/>
        <rFont val="Arial"/>
        <family val="2"/>
      </rPr>
      <t>1</t>
    </r>
  </si>
  <si>
    <r>
      <t xml:space="preserve">Kitchen </t>
    </r>
    <r>
      <rPr>
        <vertAlign val="superscript"/>
        <sz val="9"/>
        <rFont val="Arial"/>
        <family val="2"/>
      </rPr>
      <t>2</t>
    </r>
  </si>
  <si>
    <r>
      <t xml:space="preserve">Parent Waiting </t>
    </r>
    <r>
      <rPr>
        <vertAlign val="superscript"/>
        <sz val="9"/>
        <rFont val="Arial"/>
        <family val="2"/>
      </rPr>
      <t xml:space="preserve">2 </t>
    </r>
    <r>
      <rPr>
        <sz val="9"/>
        <rFont val="Arial"/>
        <family val="2"/>
      </rPr>
      <t>(incl. 20% bldg fac)</t>
    </r>
  </si>
  <si>
    <r>
      <t xml:space="preserve">Music/MM Room </t>
    </r>
    <r>
      <rPr>
        <sz val="9"/>
        <rFont val="Arial"/>
        <family val="2"/>
      </rPr>
      <t>(incl. 20% bldg fac)</t>
    </r>
  </si>
  <si>
    <t>Large Kitchen</t>
  </si>
  <si>
    <t xml:space="preserve">Army adds separate homework room at 525 sf (except for "up to 60 Youth"); Navy deletes Vending; </t>
  </si>
  <si>
    <t>SAC Site Support</t>
  </si>
  <si>
    <t>Youth Site Support</t>
  </si>
  <si>
    <t>Teen Site Support</t>
  </si>
  <si>
    <t>Teen Building</t>
  </si>
  <si>
    <t>Youth Building</t>
  </si>
  <si>
    <t>SAC Building</t>
  </si>
  <si>
    <t>Navy limits quan. of private offices</t>
  </si>
  <si>
    <t>Not normally permitted for Navy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</si>
</sst>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</font>
    <font>
      <sz val="10"/>
      <name val="Arial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u/>
      <sz val="7"/>
      <name val="Arial"/>
      <family val="2"/>
    </font>
    <font>
      <b/>
      <u/>
      <sz val="10"/>
      <name val="Arial"/>
      <family val="2"/>
    </font>
    <font>
      <b/>
      <sz val="9.5"/>
      <color indexed="10"/>
      <name val="Arial Narrow"/>
      <family val="2"/>
    </font>
    <font>
      <b/>
      <sz val="10.5"/>
      <name val="Arial Narrow"/>
      <family val="2"/>
    </font>
    <font>
      <b/>
      <sz val="13"/>
      <name val="Arial Narrow"/>
      <family val="2"/>
    </font>
    <font>
      <b/>
      <u/>
      <sz val="10.5"/>
      <name val="Arial Narrow"/>
      <family val="2"/>
    </font>
    <font>
      <sz val="10.5"/>
      <name val="Arial Narrow"/>
      <family val="2"/>
    </font>
    <font>
      <b/>
      <vertAlign val="superscript"/>
      <sz val="10.5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84">
    <xf numFmtId="0" fontId="0" fillId="0" borderId="0" xfId="0"/>
    <xf numFmtId="0" fontId="4" fillId="0" borderId="0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>
      <alignment horizontal="center"/>
    </xf>
    <xf numFmtId="0" fontId="7" fillId="0" borderId="0" xfId="0" applyFont="1" applyBorder="1" applyAlignment="1"/>
    <xf numFmtId="0" fontId="7" fillId="0" borderId="2" xfId="0" applyFont="1" applyBorder="1" applyAlignment="1"/>
    <xf numFmtId="0" fontId="6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wrapText="1"/>
    </xf>
    <xf numFmtId="0" fontId="6" fillId="0" borderId="5" xfId="0" applyFont="1" applyBorder="1" applyAlignment="1">
      <alignment horizontal="right" vertical="center"/>
    </xf>
    <xf numFmtId="0" fontId="7" fillId="0" borderId="0" xfId="0" applyFont="1" applyFill="1" applyBorder="1" applyAlignment="1"/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vertical="center"/>
    </xf>
    <xf numFmtId="0" fontId="7" fillId="0" borderId="6" xfId="0" applyFont="1" applyFill="1" applyBorder="1" applyAlignment="1">
      <alignment horizontal="left" vertical="center" indent="1"/>
    </xf>
    <xf numFmtId="2" fontId="7" fillId="0" borderId="7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2" fontId="7" fillId="0" borderId="7" xfId="0" applyNumberFormat="1" applyFont="1" applyFill="1" applyBorder="1" applyAlignment="1">
      <alignment vertical="center"/>
    </xf>
    <xf numFmtId="3" fontId="7" fillId="0" borderId="7" xfId="0" applyNumberFormat="1" applyFont="1" applyFill="1" applyBorder="1" applyAlignment="1">
      <alignment horizontal="right" vertical="center"/>
    </xf>
    <xf numFmtId="2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2" fontId="7" fillId="0" borderId="9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right" vertical="center"/>
    </xf>
    <xf numFmtId="0" fontId="7" fillId="2" borderId="11" xfId="0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horizontal="right" vertical="center"/>
    </xf>
    <xf numFmtId="0" fontId="7" fillId="0" borderId="13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4" fontId="6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2" fontId="7" fillId="0" borderId="18" xfId="0" applyNumberFormat="1" applyFont="1" applyFill="1" applyBorder="1" applyAlignment="1">
      <alignment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vertical="center"/>
    </xf>
    <xf numFmtId="0" fontId="6" fillId="2" borderId="19" xfId="0" applyFont="1" applyFill="1" applyBorder="1" applyAlignment="1">
      <alignment horizontal="right" vertical="center"/>
    </xf>
    <xf numFmtId="0" fontId="6" fillId="2" borderId="20" xfId="0" applyFont="1" applyFill="1" applyBorder="1" applyAlignment="1">
      <alignment horizontal="right" vertical="center"/>
    </xf>
    <xf numFmtId="0" fontId="6" fillId="2" borderId="11" xfId="0" applyFont="1" applyFill="1" applyBorder="1" applyAlignment="1">
      <alignment horizontal="right" vertical="center"/>
    </xf>
    <xf numFmtId="9" fontId="6" fillId="0" borderId="11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 indent="1"/>
    </xf>
    <xf numFmtId="3" fontId="3" fillId="0" borderId="17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18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/>
    </xf>
    <xf numFmtId="3" fontId="7" fillId="0" borderId="9" xfId="0" applyNumberFormat="1" applyFont="1" applyFill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vertical="center"/>
    </xf>
    <xf numFmtId="3" fontId="4" fillId="0" borderId="0" xfId="0" applyNumberFormat="1" applyFont="1" applyBorder="1" applyAlignment="1"/>
    <xf numFmtId="0" fontId="7" fillId="0" borderId="6" xfId="0" applyFont="1" applyFill="1" applyBorder="1" applyAlignment="1">
      <alignment horizontal="left" vertical="center" indent="2"/>
    </xf>
    <xf numFmtId="0" fontId="7" fillId="0" borderId="18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 indent="1"/>
    </xf>
    <xf numFmtId="2" fontId="7" fillId="0" borderId="8" xfId="0" applyNumberFormat="1" applyFont="1" applyFill="1" applyBorder="1" applyAlignment="1">
      <alignment horizontal="center" vertical="center"/>
    </xf>
    <xf numFmtId="3" fontId="7" fillId="0" borderId="8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right" vertical="center"/>
    </xf>
    <xf numFmtId="2" fontId="7" fillId="2" borderId="7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3" fontId="7" fillId="0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2" fontId="7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2" fontId="7" fillId="2" borderId="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0" fontId="7" fillId="2" borderId="18" xfId="0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horizontal="right" vertical="center"/>
    </xf>
    <xf numFmtId="2" fontId="7" fillId="2" borderId="2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4" fontId="6" fillId="2" borderId="10" xfId="0" applyNumberFormat="1" applyFont="1" applyFill="1" applyBorder="1" applyAlignment="1">
      <alignment horizontal="right" vertical="center"/>
    </xf>
    <xf numFmtId="9" fontId="6" fillId="2" borderId="11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right" vertical="center"/>
    </xf>
    <xf numFmtId="3" fontId="6" fillId="2" borderId="11" xfId="0" applyNumberFormat="1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right" vertical="center"/>
    </xf>
    <xf numFmtId="0" fontId="7" fillId="0" borderId="25" xfId="0" applyFont="1" applyBorder="1" applyAlignment="1">
      <alignment vertical="center"/>
    </xf>
    <xf numFmtId="2" fontId="7" fillId="0" borderId="25" xfId="0" applyNumberFormat="1" applyFont="1" applyFill="1" applyBorder="1" applyAlignment="1">
      <alignment vertical="center"/>
    </xf>
    <xf numFmtId="3" fontId="7" fillId="0" borderId="25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horizontal="left" vertical="center"/>
    </xf>
    <xf numFmtId="2" fontId="7" fillId="2" borderId="11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vertical="center"/>
    </xf>
    <xf numFmtId="2" fontId="6" fillId="0" borderId="11" xfId="0" applyNumberFormat="1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2" fontId="7" fillId="2" borderId="9" xfId="0" applyNumberFormat="1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3" fontId="7" fillId="2" borderId="9" xfId="0" applyNumberFormat="1" applyFont="1" applyFill="1" applyBorder="1" applyAlignment="1">
      <alignment vertical="center"/>
    </xf>
    <xf numFmtId="2" fontId="6" fillId="2" borderId="11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0" fontId="7" fillId="2" borderId="22" xfId="0" applyFont="1" applyFill="1" applyBorder="1" applyAlignment="1">
      <alignment horizontal="center" vertical="center"/>
    </xf>
    <xf numFmtId="2" fontId="7" fillId="2" borderId="22" xfId="0" applyNumberFormat="1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3" fontId="7" fillId="2" borderId="22" xfId="0" applyNumberFormat="1" applyFont="1" applyFill="1" applyBorder="1" applyAlignment="1">
      <alignment vertical="center"/>
    </xf>
    <xf numFmtId="3" fontId="7" fillId="2" borderId="22" xfId="0" applyNumberFormat="1" applyFont="1" applyFill="1" applyBorder="1" applyAlignment="1">
      <alignment horizontal="right" vertical="center"/>
    </xf>
    <xf numFmtId="0" fontId="7" fillId="0" borderId="8" xfId="0" applyFont="1" applyFill="1" applyBorder="1" applyAlignment="1">
      <alignment vertical="center"/>
    </xf>
    <xf numFmtId="0" fontId="14" fillId="3" borderId="13" xfId="0" applyFont="1" applyFill="1" applyBorder="1" applyAlignment="1" applyProtection="1">
      <alignment horizontal="center" vertical="center"/>
      <protection locked="0"/>
    </xf>
    <xf numFmtId="0" fontId="14" fillId="4" borderId="13" xfId="0" applyFont="1" applyFill="1" applyBorder="1" applyAlignment="1" applyProtection="1">
      <alignment horizontal="center"/>
      <protection locked="0"/>
    </xf>
    <xf numFmtId="0" fontId="14" fillId="4" borderId="13" xfId="0" quotePrefix="1" applyFont="1" applyFill="1" applyBorder="1" applyAlignment="1" applyProtection="1">
      <alignment horizontal="center"/>
      <protection locked="0"/>
    </xf>
    <xf numFmtId="0" fontId="15" fillId="0" borderId="0" xfId="0" applyFont="1" applyFill="1" applyBorder="1" applyAlignment="1">
      <alignment horizontal="left"/>
    </xf>
    <xf numFmtId="0" fontId="16" fillId="0" borderId="0" xfId="0" applyFont="1" applyFill="1" applyBorder="1" applyAlignment="1"/>
    <xf numFmtId="0" fontId="3" fillId="0" borderId="26" xfId="0" applyFont="1" applyBorder="1" applyAlignment="1">
      <alignment horizontal="center" vertical="center" textRotation="90"/>
    </xf>
    <xf numFmtId="0" fontId="7" fillId="2" borderId="19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right" vertical="center"/>
    </xf>
    <xf numFmtId="4" fontId="6" fillId="5" borderId="27" xfId="0" applyNumberFormat="1" applyFont="1" applyFill="1" applyBorder="1" applyAlignment="1">
      <alignment horizontal="right" vertical="center"/>
    </xf>
    <xf numFmtId="3" fontId="6" fillId="5" borderId="19" xfId="0" applyNumberFormat="1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left" vertical="center" indent="2"/>
    </xf>
    <xf numFmtId="2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4" fontId="6" fillId="2" borderId="27" xfId="0" applyNumberFormat="1" applyFont="1" applyFill="1" applyBorder="1" applyAlignment="1">
      <alignment horizontal="right" vertical="center"/>
    </xf>
    <xf numFmtId="3" fontId="6" fillId="2" borderId="19" xfId="0" applyNumberFormat="1" applyFont="1" applyFill="1" applyBorder="1" applyAlignment="1">
      <alignment horizontal="right" vertical="center"/>
    </xf>
    <xf numFmtId="3" fontId="6" fillId="5" borderId="22" xfId="0" applyNumberFormat="1" applyFont="1" applyFill="1" applyBorder="1" applyAlignment="1">
      <alignment horizontal="right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3" fontId="3" fillId="2" borderId="17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3" fontId="7" fillId="2" borderId="25" xfId="0" applyNumberFormat="1" applyFont="1" applyFill="1" applyBorder="1" applyAlignment="1">
      <alignment vertical="center"/>
    </xf>
    <xf numFmtId="0" fontId="7" fillId="5" borderId="7" xfId="0" applyFont="1" applyFill="1" applyBorder="1" applyAlignment="1">
      <alignment horizontal="center" vertical="center"/>
    </xf>
    <xf numFmtId="2" fontId="7" fillId="5" borderId="7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4" fontId="6" fillId="5" borderId="10" xfId="0" applyNumberFormat="1" applyFont="1" applyFill="1" applyBorder="1" applyAlignment="1">
      <alignment horizontal="right" vertical="center"/>
    </xf>
    <xf numFmtId="9" fontId="6" fillId="5" borderId="11" xfId="0" applyNumberFormat="1" applyFont="1" applyFill="1" applyBorder="1" applyAlignment="1">
      <alignment horizontal="center" vertical="center"/>
    </xf>
    <xf numFmtId="4" fontId="6" fillId="5" borderId="5" xfId="0" applyNumberFormat="1" applyFont="1" applyFill="1" applyBorder="1" applyAlignment="1">
      <alignment horizontal="right" vertical="center"/>
    </xf>
    <xf numFmtId="3" fontId="6" fillId="5" borderId="11" xfId="0" applyNumberFormat="1" applyFont="1" applyFill="1" applyBorder="1" applyAlignment="1">
      <alignment horizontal="right" vertical="center"/>
    </xf>
    <xf numFmtId="4" fontId="6" fillId="5" borderId="3" xfId="0" applyNumberFormat="1" applyFont="1" applyFill="1" applyBorder="1" applyAlignment="1">
      <alignment horizontal="right" vertical="center"/>
    </xf>
    <xf numFmtId="0" fontId="7" fillId="5" borderId="18" xfId="0" applyFont="1" applyFill="1" applyBorder="1" applyAlignment="1">
      <alignment horizontal="center" vertical="center"/>
    </xf>
    <xf numFmtId="4" fontId="7" fillId="5" borderId="7" xfId="0" applyNumberFormat="1" applyFont="1" applyFill="1" applyBorder="1" applyAlignment="1">
      <alignment vertical="center"/>
    </xf>
    <xf numFmtId="2" fontId="7" fillId="2" borderId="25" xfId="0" applyNumberFormat="1" applyFont="1" applyFill="1" applyBorder="1" applyAlignment="1">
      <alignment horizontal="center" vertical="center"/>
    </xf>
    <xf numFmtId="3" fontId="7" fillId="2" borderId="25" xfId="0" applyNumberFormat="1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center" indent="1"/>
    </xf>
    <xf numFmtId="2" fontId="7" fillId="0" borderId="20" xfId="0" applyNumberFormat="1" applyFont="1" applyBorder="1" applyAlignment="1">
      <alignment horizontal="center" vertical="center"/>
    </xf>
    <xf numFmtId="3" fontId="7" fillId="0" borderId="20" xfId="0" applyNumberFormat="1" applyFont="1" applyBorder="1" applyAlignment="1">
      <alignment horizontal="center" vertical="center"/>
    </xf>
    <xf numFmtId="9" fontId="6" fillId="0" borderId="20" xfId="0" applyNumberFormat="1" applyFont="1" applyBorder="1" applyAlignment="1">
      <alignment horizontal="center" vertical="center"/>
    </xf>
    <xf numFmtId="3" fontId="7" fillId="0" borderId="20" xfId="0" applyNumberFormat="1" applyFont="1" applyBorder="1" applyAlignment="1">
      <alignment horizontal="right" vertical="center"/>
    </xf>
    <xf numFmtId="9" fontId="7" fillId="2" borderId="20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indent="1"/>
    </xf>
    <xf numFmtId="0" fontId="7" fillId="0" borderId="8" xfId="0" applyFont="1" applyBorder="1" applyAlignment="1">
      <alignment horizontal="center" vertical="center"/>
    </xf>
    <xf numFmtId="2" fontId="7" fillId="0" borderId="8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3" fontId="7" fillId="0" borderId="8" xfId="0" applyNumberFormat="1" applyFont="1" applyFill="1" applyBorder="1" applyAlignment="1">
      <alignment vertical="center"/>
    </xf>
    <xf numFmtId="3" fontId="7" fillId="2" borderId="20" xfId="0" applyNumberFormat="1" applyFont="1" applyFill="1" applyBorder="1" applyAlignment="1">
      <alignment horizontal="right" vertical="center"/>
    </xf>
    <xf numFmtId="0" fontId="14" fillId="5" borderId="0" xfId="0" applyFont="1" applyFill="1" applyProtection="1"/>
    <xf numFmtId="0" fontId="14" fillId="0" borderId="0" xfId="0" applyFont="1" applyProtection="1"/>
    <xf numFmtId="0" fontId="1" fillId="5" borderId="0" xfId="0" applyFont="1" applyFill="1" applyBorder="1" applyAlignment="1" applyProtection="1"/>
    <xf numFmtId="0" fontId="14" fillId="0" borderId="0" xfId="0" applyFont="1" applyFill="1" applyBorder="1" applyAlignment="1" applyProtection="1">
      <alignment horizontal="center"/>
    </xf>
    <xf numFmtId="3" fontId="13" fillId="0" borderId="0" xfId="0" applyNumberFormat="1" applyFont="1" applyFill="1" applyBorder="1" applyAlignment="1" applyProtection="1">
      <alignment horizontal="right"/>
    </xf>
    <xf numFmtId="0" fontId="14" fillId="3" borderId="11" xfId="0" applyFont="1" applyFill="1" applyBorder="1" applyAlignment="1" applyProtection="1"/>
    <xf numFmtId="0" fontId="14" fillId="0" borderId="0" xfId="0" applyFont="1" applyFill="1" applyBorder="1" applyAlignment="1" applyProtection="1"/>
    <xf numFmtId="0" fontId="14" fillId="5" borderId="28" xfId="0" applyFont="1" applyFill="1" applyBorder="1" applyAlignment="1" applyProtection="1">
      <alignment horizontal="left" vertical="center"/>
    </xf>
    <xf numFmtId="0" fontId="14" fillId="5" borderId="29" xfId="0" applyFont="1" applyFill="1" applyBorder="1" applyAlignment="1" applyProtection="1">
      <alignment horizontal="left" vertical="center"/>
    </xf>
    <xf numFmtId="0" fontId="14" fillId="0" borderId="29" xfId="0" applyFont="1" applyBorder="1" applyAlignment="1" applyProtection="1">
      <alignment horizontal="left" vertical="center"/>
    </xf>
    <xf numFmtId="0" fontId="14" fillId="5" borderId="29" xfId="0" applyFont="1" applyFill="1" applyBorder="1" applyAlignment="1" applyProtection="1"/>
    <xf numFmtId="0" fontId="14" fillId="5" borderId="30" xfId="0" applyFont="1" applyFill="1" applyBorder="1" applyAlignment="1" applyProtection="1"/>
    <xf numFmtId="0" fontId="14" fillId="0" borderId="0" xfId="0" applyFont="1" applyBorder="1" applyAlignment="1" applyProtection="1">
      <alignment horizontal="center"/>
    </xf>
    <xf numFmtId="0" fontId="14" fillId="0" borderId="0" xfId="0" applyFont="1" applyBorder="1" applyAlignment="1" applyProtection="1"/>
    <xf numFmtId="0" fontId="14" fillId="0" borderId="19" xfId="0" applyFont="1" applyBorder="1" applyAlignment="1" applyProtection="1"/>
    <xf numFmtId="0" fontId="13" fillId="5" borderId="0" xfId="0" applyFont="1" applyFill="1" applyBorder="1" applyAlignment="1" applyProtection="1">
      <alignment horizontal="left" vertical="center"/>
    </xf>
    <xf numFmtId="0" fontId="13" fillId="5" borderId="0" xfId="0" applyFont="1" applyFill="1" applyBorder="1" applyAlignment="1" applyProtection="1">
      <alignment horizontal="center" vertical="center"/>
    </xf>
    <xf numFmtId="0" fontId="14" fillId="5" borderId="0" xfId="0" applyFont="1" applyFill="1" applyBorder="1" applyAlignment="1" applyProtection="1"/>
    <xf numFmtId="0" fontId="14" fillId="5" borderId="31" xfId="0" applyFont="1" applyFill="1" applyBorder="1" applyAlignment="1" applyProtection="1"/>
    <xf numFmtId="0" fontId="14" fillId="0" borderId="26" xfId="0" applyFont="1" applyBorder="1" applyAlignment="1" applyProtection="1"/>
    <xf numFmtId="0" fontId="13" fillId="5" borderId="32" xfId="0" applyFont="1" applyFill="1" applyBorder="1" applyAlignment="1" applyProtection="1">
      <alignment horizontal="left" vertical="center"/>
    </xf>
    <xf numFmtId="0" fontId="13" fillId="5" borderId="13" xfId="0" applyFont="1" applyFill="1" applyBorder="1" applyAlignment="1" applyProtection="1">
      <alignment horizontal="left" vertical="center"/>
    </xf>
    <xf numFmtId="0" fontId="14" fillId="0" borderId="13" xfId="0" applyFont="1" applyBorder="1" applyAlignment="1" applyProtection="1">
      <alignment horizontal="center" vertical="center"/>
    </xf>
    <xf numFmtId="0" fontId="14" fillId="5" borderId="13" xfId="0" applyFont="1" applyFill="1" applyBorder="1" applyAlignment="1" applyProtection="1">
      <alignment horizontal="center" vertical="center"/>
    </xf>
    <xf numFmtId="0" fontId="14" fillId="5" borderId="13" xfId="0" applyFont="1" applyFill="1" applyBorder="1" applyAlignment="1" applyProtection="1"/>
    <xf numFmtId="0" fontId="14" fillId="5" borderId="33" xfId="0" applyFont="1" applyFill="1" applyBorder="1" applyAlignment="1" applyProtection="1"/>
    <xf numFmtId="4" fontId="13" fillId="0" borderId="0" xfId="0" applyNumberFormat="1" applyFont="1" applyBorder="1" applyAlignment="1" applyProtection="1">
      <alignment horizontal="right" vertical="center"/>
    </xf>
    <xf numFmtId="0" fontId="13" fillId="5" borderId="33" xfId="0" applyFont="1" applyFill="1" applyBorder="1" applyAlignment="1" applyProtection="1"/>
    <xf numFmtId="0" fontId="13" fillId="5" borderId="0" xfId="0" applyFont="1" applyFill="1" applyBorder="1" applyAlignment="1" applyProtection="1"/>
    <xf numFmtId="0" fontId="14" fillId="5" borderId="0" xfId="0" applyFont="1" applyFill="1" applyBorder="1" applyAlignment="1" applyProtection="1">
      <alignment horizontal="center"/>
    </xf>
    <xf numFmtId="0" fontId="14" fillId="5" borderId="0" xfId="0" applyFont="1" applyFill="1" applyBorder="1" applyAlignment="1" applyProtection="1">
      <alignment horizontal="right"/>
    </xf>
    <xf numFmtId="3" fontId="14" fillId="0" borderId="34" xfId="0" applyNumberFormat="1" applyFont="1" applyFill="1" applyBorder="1" applyAlignment="1" applyProtection="1">
      <alignment horizontal="right" vertical="center"/>
    </xf>
    <xf numFmtId="0" fontId="14" fillId="0" borderId="26" xfId="0" applyFont="1" applyFill="1" applyBorder="1" applyAlignment="1" applyProtection="1"/>
    <xf numFmtId="4" fontId="13" fillId="0" borderId="11" xfId="0" applyNumberFormat="1" applyFont="1" applyBorder="1" applyAlignment="1" applyProtection="1">
      <alignment horizontal="right" vertical="center"/>
    </xf>
    <xf numFmtId="0" fontId="13" fillId="5" borderId="32" xfId="0" applyFont="1" applyFill="1" applyBorder="1" applyAlignment="1" applyProtection="1"/>
    <xf numFmtId="2" fontId="14" fillId="5" borderId="13" xfId="0" applyNumberFormat="1" applyFont="1" applyFill="1" applyBorder="1" applyAlignment="1" applyProtection="1">
      <alignment horizontal="center" vertical="center"/>
    </xf>
    <xf numFmtId="3" fontId="14" fillId="5" borderId="35" xfId="0" applyNumberFormat="1" applyFont="1" applyFill="1" applyBorder="1" applyAlignment="1" applyProtection="1">
      <alignment horizontal="right" vertical="center"/>
    </xf>
    <xf numFmtId="3" fontId="14" fillId="5" borderId="34" xfId="0" applyNumberFormat="1" applyFont="1" applyFill="1" applyBorder="1" applyAlignment="1" applyProtection="1">
      <alignment horizontal="right" vertical="center"/>
    </xf>
    <xf numFmtId="0" fontId="14" fillId="0" borderId="11" xfId="0" applyFont="1" applyBorder="1" applyAlignment="1" applyProtection="1"/>
    <xf numFmtId="0" fontId="13" fillId="5" borderId="32" xfId="0" applyFont="1" applyFill="1" applyBorder="1" applyAlignment="1" applyProtection="1">
      <alignment horizontal="left" indent="1"/>
    </xf>
    <xf numFmtId="0" fontId="13" fillId="5" borderId="4" xfId="0" applyFont="1" applyFill="1" applyBorder="1" applyAlignment="1" applyProtection="1"/>
    <xf numFmtId="0" fontId="14" fillId="5" borderId="4" xfId="0" applyFont="1" applyFill="1" applyBorder="1" applyAlignment="1" applyProtection="1">
      <alignment horizontal="center"/>
    </xf>
    <xf numFmtId="0" fontId="14" fillId="5" borderId="4" xfId="0" applyFont="1" applyFill="1" applyBorder="1" applyAlignment="1" applyProtection="1"/>
    <xf numFmtId="2" fontId="14" fillId="5" borderId="4" xfId="0" applyNumberFormat="1" applyFont="1" applyFill="1" applyBorder="1" applyAlignment="1" applyProtection="1">
      <alignment horizontal="center" vertical="center"/>
    </xf>
    <xf numFmtId="3" fontId="14" fillId="5" borderId="36" xfId="0" applyNumberFormat="1" applyFont="1" applyFill="1" applyBorder="1" applyAlignment="1" applyProtection="1">
      <alignment horizontal="right" vertical="center"/>
    </xf>
    <xf numFmtId="2" fontId="14" fillId="5" borderId="0" xfId="0" applyNumberFormat="1" applyFont="1" applyFill="1" applyBorder="1" applyAlignment="1" applyProtection="1">
      <alignment horizontal="center" vertical="center"/>
    </xf>
    <xf numFmtId="3" fontId="14" fillId="5" borderId="31" xfId="0" applyNumberFormat="1" applyFont="1" applyFill="1" applyBorder="1" applyAlignment="1" applyProtection="1">
      <alignment horizontal="right" vertical="center"/>
    </xf>
    <xf numFmtId="0" fontId="14" fillId="5" borderId="27" xfId="0" applyFont="1" applyFill="1" applyBorder="1" applyAlignment="1" applyProtection="1">
      <alignment horizontal="right"/>
    </xf>
    <xf numFmtId="0" fontId="14" fillId="5" borderId="35" xfId="0" applyFont="1" applyFill="1" applyBorder="1" applyAlignment="1" applyProtection="1"/>
    <xf numFmtId="0" fontId="14" fillId="0" borderId="33" xfId="0" applyFont="1" applyBorder="1" applyAlignment="1" applyProtection="1"/>
    <xf numFmtId="3" fontId="14" fillId="5" borderId="31" xfId="0" applyNumberFormat="1" applyFont="1" applyFill="1" applyBorder="1" applyAlignment="1" applyProtection="1"/>
    <xf numFmtId="0" fontId="14" fillId="5" borderId="33" xfId="0" applyFont="1" applyFill="1" applyBorder="1" applyProtection="1"/>
    <xf numFmtId="0" fontId="14" fillId="0" borderId="0" xfId="0" applyFont="1" applyBorder="1" applyProtection="1"/>
    <xf numFmtId="0" fontId="14" fillId="5" borderId="0" xfId="0" applyFont="1" applyFill="1" applyBorder="1" applyProtection="1"/>
    <xf numFmtId="2" fontId="13" fillId="5" borderId="11" xfId="0" applyNumberFormat="1" applyFont="1" applyFill="1" applyBorder="1" applyProtection="1"/>
    <xf numFmtId="0" fontId="14" fillId="5" borderId="32" xfId="0" applyFont="1" applyFill="1" applyBorder="1" applyProtection="1"/>
    <xf numFmtId="0" fontId="14" fillId="5" borderId="13" xfId="0" applyFont="1" applyFill="1" applyBorder="1" applyProtection="1"/>
    <xf numFmtId="2" fontId="13" fillId="5" borderId="13" xfId="0" applyNumberFormat="1" applyFont="1" applyFill="1" applyBorder="1" applyProtection="1"/>
    <xf numFmtId="2" fontId="13" fillId="5" borderId="35" xfId="0" applyNumberFormat="1" applyFont="1" applyFill="1" applyBorder="1" applyProtection="1"/>
    <xf numFmtId="0" fontId="14" fillId="5" borderId="31" xfId="0" applyFont="1" applyFill="1" applyBorder="1" applyProtection="1"/>
    <xf numFmtId="0" fontId="14" fillId="5" borderId="37" xfId="0" applyFont="1" applyFill="1" applyBorder="1" applyProtection="1"/>
    <xf numFmtId="0" fontId="14" fillId="5" borderId="16" xfId="0" applyFont="1" applyFill="1" applyBorder="1" applyProtection="1"/>
    <xf numFmtId="0" fontId="3" fillId="5" borderId="16" xfId="0" applyFont="1" applyFill="1" applyBorder="1" applyProtection="1"/>
    <xf numFmtId="0" fontId="3" fillId="5" borderId="38" xfId="0" applyFont="1" applyFill="1" applyBorder="1" applyProtection="1"/>
    <xf numFmtId="0" fontId="3" fillId="5" borderId="0" xfId="0" applyFont="1" applyFill="1" applyBorder="1" applyProtection="1"/>
    <xf numFmtId="0" fontId="3" fillId="5" borderId="31" xfId="0" applyFont="1" applyFill="1" applyBorder="1" applyProtection="1"/>
    <xf numFmtId="0" fontId="13" fillId="5" borderId="33" xfId="0" applyFont="1" applyFill="1" applyBorder="1" applyAlignment="1" applyProtection="1">
      <alignment horizontal="left" indent="1"/>
    </xf>
    <xf numFmtId="3" fontId="3" fillId="5" borderId="34" xfId="0" applyNumberFormat="1" applyFont="1" applyFill="1" applyBorder="1" applyProtection="1"/>
    <xf numFmtId="2" fontId="3" fillId="5" borderId="13" xfId="0" applyNumberFormat="1" applyFont="1" applyFill="1" applyBorder="1" applyAlignment="1" applyProtection="1">
      <alignment horizontal="center" vertical="center"/>
    </xf>
    <xf numFmtId="3" fontId="3" fillId="5" borderId="35" xfId="0" applyNumberFormat="1" applyFont="1" applyFill="1" applyBorder="1" applyProtection="1"/>
    <xf numFmtId="3" fontId="3" fillId="5" borderId="11" xfId="0" applyNumberFormat="1" applyFont="1" applyFill="1" applyBorder="1" applyProtection="1"/>
    <xf numFmtId="0" fontId="14" fillId="5" borderId="38" xfId="0" applyFont="1" applyFill="1" applyBorder="1" applyProtection="1"/>
    <xf numFmtId="0" fontId="17" fillId="5" borderId="0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right" vertical="center"/>
    </xf>
    <xf numFmtId="0" fontId="7" fillId="2" borderId="18" xfId="0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vertical="center"/>
    </xf>
    <xf numFmtId="3" fontId="7" fillId="2" borderId="7" xfId="0" applyNumberFormat="1" applyFont="1" applyFill="1" applyBorder="1" applyAlignment="1">
      <alignment vertical="center"/>
    </xf>
    <xf numFmtId="0" fontId="7" fillId="0" borderId="26" xfId="0" applyFont="1" applyFill="1" applyBorder="1" applyAlignment="1">
      <alignment horizontal="left" vertical="center" indent="1"/>
    </xf>
    <xf numFmtId="0" fontId="7" fillId="0" borderId="23" xfId="0" applyFont="1" applyFill="1" applyBorder="1" applyAlignment="1">
      <alignment horizontal="left" vertical="center"/>
    </xf>
    <xf numFmtId="4" fontId="7" fillId="0" borderId="7" xfId="0" applyNumberFormat="1" applyFont="1" applyFill="1" applyBorder="1" applyAlignment="1">
      <alignment vertical="center"/>
    </xf>
    <xf numFmtId="3" fontId="7" fillId="0" borderId="7" xfId="0" applyNumberFormat="1" applyFont="1" applyFill="1" applyBorder="1" applyAlignment="1">
      <alignment vertical="center"/>
    </xf>
    <xf numFmtId="0" fontId="14" fillId="0" borderId="0" xfId="0" quotePrefix="1" applyFont="1" applyBorder="1" applyAlignment="1" applyProtection="1"/>
    <xf numFmtId="0" fontId="7" fillId="0" borderId="6" xfId="0" applyFont="1" applyBorder="1" applyAlignment="1">
      <alignment horizontal="left" vertical="center"/>
    </xf>
    <xf numFmtId="0" fontId="8" fillId="4" borderId="13" xfId="0" applyFont="1" applyFill="1" applyBorder="1" applyAlignment="1" applyProtection="1">
      <alignment horizontal="left"/>
      <protection locked="0"/>
    </xf>
    <xf numFmtId="0" fontId="14" fillId="0" borderId="26" xfId="0" applyFont="1" applyBorder="1" applyProtection="1"/>
    <xf numFmtId="0" fontId="14" fillId="0" borderId="26" xfId="0" applyFont="1" applyFill="1" applyBorder="1" applyProtection="1"/>
    <xf numFmtId="0" fontId="7" fillId="0" borderId="39" xfId="0" applyFont="1" applyFill="1" applyBorder="1" applyAlignment="1">
      <alignment horizontal="left" vertical="center"/>
    </xf>
    <xf numFmtId="3" fontId="14" fillId="0" borderId="34" xfId="0" quotePrefix="1" applyNumberFormat="1" applyFont="1" applyFill="1" applyBorder="1" applyAlignment="1" applyProtection="1">
      <alignment horizontal="right" vertical="center"/>
    </xf>
    <xf numFmtId="3" fontId="14" fillId="5" borderId="34" xfId="0" quotePrefix="1" applyNumberFormat="1" applyFont="1" applyFill="1" applyBorder="1" applyAlignment="1" applyProtection="1">
      <alignment horizontal="right" vertical="center"/>
    </xf>
    <xf numFmtId="0" fontId="18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7" fillId="2" borderId="8" xfId="0" applyFont="1" applyFill="1" applyBorder="1" applyAlignment="1">
      <alignment horizontal="center" vertical="center"/>
    </xf>
    <xf numFmtId="2" fontId="7" fillId="2" borderId="8" xfId="0" applyNumberFormat="1" applyFont="1" applyFill="1" applyBorder="1" applyAlignment="1">
      <alignment vertical="center"/>
    </xf>
    <xf numFmtId="3" fontId="7" fillId="2" borderId="8" xfId="0" applyNumberFormat="1" applyFont="1" applyFill="1" applyBorder="1" applyAlignment="1">
      <alignment horizontal="right" vertical="center"/>
    </xf>
    <xf numFmtId="3" fontId="7" fillId="2" borderId="8" xfId="0" applyNumberFormat="1" applyFont="1" applyFill="1" applyBorder="1" applyAlignment="1">
      <alignment vertical="center"/>
    </xf>
    <xf numFmtId="3" fontId="7" fillId="0" borderId="25" xfId="0" applyNumberFormat="1" applyFont="1" applyFill="1" applyBorder="1" applyAlignment="1">
      <alignment horizontal="right" vertical="center"/>
    </xf>
    <xf numFmtId="3" fontId="7" fillId="0" borderId="8" xfId="0" applyNumberFormat="1" applyFont="1" applyFill="1" applyBorder="1" applyAlignment="1">
      <alignment horizontal="right" vertical="center"/>
    </xf>
    <xf numFmtId="0" fontId="7" fillId="5" borderId="18" xfId="0" applyFont="1" applyFill="1" applyBorder="1" applyAlignment="1">
      <alignment horizontal="left" vertical="center"/>
    </xf>
    <xf numFmtId="2" fontId="7" fillId="5" borderId="18" xfId="0" applyNumberFormat="1" applyFont="1" applyFill="1" applyBorder="1" applyAlignment="1">
      <alignment horizontal="center" vertical="center"/>
    </xf>
    <xf numFmtId="3" fontId="7" fillId="5" borderId="18" xfId="0" applyNumberFormat="1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vertical="center"/>
    </xf>
    <xf numFmtId="2" fontId="7" fillId="5" borderId="18" xfId="0" applyNumberFormat="1" applyFont="1" applyFill="1" applyBorder="1" applyAlignment="1">
      <alignment vertical="center"/>
    </xf>
    <xf numFmtId="3" fontId="7" fillId="5" borderId="22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2" fontId="7" fillId="5" borderId="22" xfId="0" applyNumberFormat="1" applyFont="1" applyFill="1" applyBorder="1" applyAlignment="1">
      <alignment vertical="center"/>
    </xf>
    <xf numFmtId="2" fontId="7" fillId="5" borderId="7" xfId="0" applyNumberFormat="1" applyFont="1" applyFill="1" applyBorder="1" applyAlignment="1">
      <alignment horizontal="center" vertical="center"/>
    </xf>
    <xf numFmtId="3" fontId="7" fillId="5" borderId="26" xfId="0" applyNumberFormat="1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vertical="center"/>
    </xf>
    <xf numFmtId="0" fontId="7" fillId="5" borderId="26" xfId="0" applyFont="1" applyFill="1" applyBorder="1" applyAlignment="1">
      <alignment horizontal="center" vertical="center"/>
    </xf>
    <xf numFmtId="2" fontId="7" fillId="5" borderId="8" xfId="0" applyNumberFormat="1" applyFont="1" applyFill="1" applyBorder="1" applyAlignment="1">
      <alignment vertical="center"/>
    </xf>
    <xf numFmtId="0" fontId="7" fillId="5" borderId="8" xfId="0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0" fontId="7" fillId="2" borderId="26" xfId="0" applyFont="1" applyFill="1" applyBorder="1" applyAlignment="1">
      <alignment horizontal="center" vertical="center"/>
    </xf>
    <xf numFmtId="2" fontId="6" fillId="2" borderId="26" xfId="0" applyNumberFormat="1" applyFont="1" applyFill="1" applyBorder="1" applyAlignment="1">
      <alignment vertical="center"/>
    </xf>
    <xf numFmtId="3" fontId="7" fillId="5" borderId="22" xfId="0" applyNumberFormat="1" applyFont="1" applyFill="1" applyBorder="1" applyAlignment="1">
      <alignment vertical="center"/>
    </xf>
    <xf numFmtId="2" fontId="7" fillId="2" borderId="22" xfId="0" applyNumberFormat="1" applyFont="1" applyFill="1" applyBorder="1" applyAlignment="1">
      <alignment horizontal="center" vertical="center"/>
    </xf>
    <xf numFmtId="3" fontId="7" fillId="2" borderId="22" xfId="0" applyNumberFormat="1" applyFont="1" applyFill="1" applyBorder="1" applyAlignment="1">
      <alignment horizontal="center" vertical="center"/>
    </xf>
    <xf numFmtId="2" fontId="7" fillId="0" borderId="22" xfId="0" applyNumberFormat="1" applyFont="1" applyFill="1" applyBorder="1" applyAlignment="1">
      <alignment vertical="center"/>
    </xf>
    <xf numFmtId="3" fontId="7" fillId="5" borderId="8" xfId="0" applyNumberFormat="1" applyFont="1" applyFill="1" applyBorder="1" applyAlignment="1">
      <alignment vertical="center"/>
    </xf>
    <xf numFmtId="0" fontId="7" fillId="5" borderId="22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left" vertical="center" indent="1"/>
    </xf>
    <xf numFmtId="2" fontId="7" fillId="2" borderId="8" xfId="0" applyNumberFormat="1" applyFont="1" applyFill="1" applyBorder="1" applyAlignment="1">
      <alignment horizontal="center" vertical="center"/>
    </xf>
    <xf numFmtId="3" fontId="7" fillId="2" borderId="8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 applyProtection="1"/>
    <xf numFmtId="0" fontId="14" fillId="0" borderId="0" xfId="0" applyFont="1" applyBorder="1" applyAlignment="1" applyProtection="1">
      <alignment horizontal="left" vertical="top" indent="1"/>
    </xf>
    <xf numFmtId="0" fontId="3" fillId="5" borderId="0" xfId="0" applyFont="1" applyFill="1" applyBorder="1" applyAlignment="1" applyProtection="1"/>
    <xf numFmtId="0" fontId="21" fillId="5" borderId="0" xfId="0" applyFont="1" applyFill="1" applyBorder="1" applyAlignment="1" applyProtection="1"/>
    <xf numFmtId="0" fontId="21" fillId="5" borderId="0" xfId="0" quotePrefix="1" applyFont="1" applyFill="1" applyBorder="1" applyAlignment="1" applyProtection="1"/>
    <xf numFmtId="0" fontId="21" fillId="5" borderId="0" xfId="0" applyFont="1" applyFill="1" applyBorder="1" applyAlignment="1" applyProtection="1">
      <alignment horizontal="left"/>
    </xf>
    <xf numFmtId="0" fontId="21" fillId="0" borderId="0" xfId="0" applyFont="1" applyFill="1" applyBorder="1" applyAlignment="1" applyProtection="1"/>
    <xf numFmtId="0" fontId="21" fillId="5" borderId="33" xfId="0" applyFont="1" applyFill="1" applyBorder="1" applyAlignment="1" applyProtection="1"/>
    <xf numFmtId="0" fontId="22" fillId="5" borderId="33" xfId="0" applyFont="1" applyFill="1" applyBorder="1" applyAlignment="1" applyProtection="1">
      <alignment horizontal="left" vertical="center"/>
    </xf>
    <xf numFmtId="0" fontId="23" fillId="5" borderId="33" xfId="0" applyFont="1" applyFill="1" applyBorder="1" applyAlignment="1" applyProtection="1"/>
    <xf numFmtId="0" fontId="23" fillId="5" borderId="40" xfId="0" applyFont="1" applyFill="1" applyBorder="1" applyAlignment="1" applyProtection="1"/>
    <xf numFmtId="0" fontId="24" fillId="5" borderId="0" xfId="0" applyFont="1" applyFill="1" applyBorder="1" applyAlignment="1" applyProtection="1">
      <alignment horizontal="right"/>
    </xf>
    <xf numFmtId="0" fontId="24" fillId="5" borderId="13" xfId="0" applyFont="1" applyFill="1" applyBorder="1" applyAlignment="1" applyProtection="1">
      <alignment horizontal="right"/>
    </xf>
    <xf numFmtId="0" fontId="24" fillId="5" borderId="0" xfId="0" applyFont="1" applyFill="1" applyBorder="1" applyAlignment="1" applyProtection="1"/>
    <xf numFmtId="0" fontId="24" fillId="5" borderId="4" xfId="0" applyFont="1" applyFill="1" applyBorder="1" applyAlignment="1" applyProtection="1">
      <alignment horizontal="right"/>
    </xf>
    <xf numFmtId="0" fontId="24" fillId="5" borderId="13" xfId="0" applyFont="1" applyFill="1" applyBorder="1" applyAlignment="1" applyProtection="1"/>
    <xf numFmtId="0" fontId="21" fillId="5" borderId="0" xfId="0" applyFont="1" applyFill="1" applyBorder="1" applyAlignment="1" applyProtection="1">
      <alignment horizontal="right"/>
    </xf>
    <xf numFmtId="0" fontId="24" fillId="5" borderId="13" xfId="0" applyFont="1" applyFill="1" applyBorder="1" applyProtection="1"/>
    <xf numFmtId="0" fontId="24" fillId="5" borderId="0" xfId="0" applyFont="1" applyFill="1" applyBorder="1" applyProtection="1"/>
    <xf numFmtId="0" fontId="21" fillId="5" borderId="16" xfId="0" applyFont="1" applyFill="1" applyBorder="1" applyAlignment="1" applyProtection="1">
      <alignment horizontal="right"/>
    </xf>
    <xf numFmtId="0" fontId="21" fillId="5" borderId="13" xfId="0" applyFont="1" applyFill="1" applyBorder="1" applyAlignment="1" applyProtection="1">
      <alignment horizontal="right"/>
    </xf>
    <xf numFmtId="0" fontId="21" fillId="5" borderId="3" xfId="0" applyFont="1" applyFill="1" applyBorder="1" applyAlignment="1" applyProtection="1">
      <alignment horizontal="center" vertical="center"/>
    </xf>
    <xf numFmtId="0" fontId="21" fillId="5" borderId="41" xfId="0" applyFont="1" applyFill="1" applyBorder="1" applyAlignment="1" applyProtection="1">
      <alignment horizontal="center" vertical="center"/>
    </xf>
    <xf numFmtId="0" fontId="24" fillId="5" borderId="0" xfId="0" applyFont="1" applyFill="1" applyBorder="1" applyAlignment="1" applyProtection="1">
      <alignment horizontal="left" indent="1"/>
    </xf>
    <xf numFmtId="3" fontId="6" fillId="2" borderId="26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/>
    <xf numFmtId="0" fontId="2" fillId="2" borderId="12" xfId="0" applyFont="1" applyFill="1" applyBorder="1" applyAlignment="1">
      <alignment wrapText="1"/>
    </xf>
    <xf numFmtId="1" fontId="13" fillId="5" borderId="34" xfId="0" applyNumberFormat="1" applyFont="1" applyFill="1" applyBorder="1" applyProtection="1"/>
    <xf numFmtId="2" fontId="3" fillId="5" borderId="11" xfId="0" applyNumberFormat="1" applyFont="1" applyFill="1" applyBorder="1" applyAlignment="1" applyProtection="1">
      <alignment horizontal="right" vertical="center"/>
    </xf>
    <xf numFmtId="0" fontId="14" fillId="0" borderId="11" xfId="0" quotePrefix="1" applyFont="1" applyBorder="1" applyAlignment="1" applyProtection="1"/>
    <xf numFmtId="0" fontId="8" fillId="5" borderId="0" xfId="0" quotePrefix="1" applyFont="1" applyFill="1" applyBorder="1" applyAlignment="1" applyProtection="1">
      <alignment vertical="top" wrapText="1"/>
    </xf>
    <xf numFmtId="0" fontId="8" fillId="5" borderId="13" xfId="0" quotePrefix="1" applyFont="1" applyFill="1" applyBorder="1" applyAlignment="1" applyProtection="1">
      <alignment vertical="top" wrapText="1"/>
    </xf>
    <xf numFmtId="1" fontId="14" fillId="5" borderId="34" xfId="0" quotePrefix="1" applyNumberFormat="1" applyFont="1" applyFill="1" applyBorder="1" applyAlignment="1" applyProtection="1">
      <alignment horizontal="right"/>
    </xf>
    <xf numFmtId="1" fontId="14" fillId="5" borderId="34" xfId="0" applyNumberFormat="1" applyFont="1" applyFill="1" applyBorder="1" applyAlignment="1" applyProtection="1"/>
    <xf numFmtId="2" fontId="14" fillId="5" borderId="11" xfId="0" applyNumberFormat="1" applyFont="1" applyFill="1" applyBorder="1" applyAlignment="1" applyProtection="1">
      <alignment horizontal="right" vertical="center"/>
    </xf>
    <xf numFmtId="2" fontId="14" fillId="5" borderId="20" xfId="0" applyNumberFormat="1" applyFont="1" applyFill="1" applyBorder="1" applyAlignment="1" applyProtection="1">
      <alignment horizontal="right" vertical="center"/>
    </xf>
    <xf numFmtId="0" fontId="6" fillId="3" borderId="43" xfId="0" applyFont="1" applyFill="1" applyBorder="1" applyAlignment="1">
      <alignment horizontal="left" vertical="center"/>
    </xf>
    <xf numFmtId="0" fontId="6" fillId="3" borderId="44" xfId="0" applyFont="1" applyFill="1" applyBorder="1" applyAlignment="1">
      <alignment horizontal="left" vertical="center"/>
    </xf>
    <xf numFmtId="0" fontId="6" fillId="3" borderId="45" xfId="0" applyFont="1" applyFill="1" applyBorder="1" applyAlignment="1">
      <alignment horizontal="left" vertical="center"/>
    </xf>
    <xf numFmtId="0" fontId="6" fillId="3" borderId="46" xfId="0" applyFont="1" applyFill="1" applyBorder="1" applyAlignment="1">
      <alignment horizontal="left" vertical="center"/>
    </xf>
    <xf numFmtId="0" fontId="6" fillId="3" borderId="47" xfId="0" applyFont="1" applyFill="1" applyBorder="1" applyAlignment="1">
      <alignment horizontal="left" vertical="center"/>
    </xf>
    <xf numFmtId="0" fontId="6" fillId="3" borderId="39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6" fillId="0" borderId="26" xfId="0" applyFont="1" applyBorder="1" applyAlignment="1">
      <alignment horizontal="center" vertical="center" textRotation="90"/>
    </xf>
    <xf numFmtId="0" fontId="6" fillId="5" borderId="26" xfId="0" applyFont="1" applyFill="1" applyBorder="1" applyAlignment="1">
      <alignment horizontal="center" vertical="center" textRotation="90"/>
    </xf>
    <xf numFmtId="0" fontId="6" fillId="5" borderId="19" xfId="0" applyFont="1" applyFill="1" applyBorder="1" applyAlignment="1">
      <alignment horizontal="center" vertical="center" textRotation="90"/>
    </xf>
    <xf numFmtId="0" fontId="6" fillId="0" borderId="42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center" vertical="center" textRotation="90"/>
    </xf>
    <xf numFmtId="0" fontId="3" fillId="0" borderId="26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 textRotation="90"/>
    </xf>
    <xf numFmtId="0" fontId="6" fillId="0" borderId="20" xfId="0" applyFont="1" applyBorder="1" applyAlignment="1">
      <alignment horizontal="center" vertical="center" textRotation="90"/>
    </xf>
    <xf numFmtId="0" fontId="3" fillId="6" borderId="1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13" fillId="5" borderId="13" xfId="0" applyFont="1" applyFill="1" applyBorder="1" applyAlignment="1" applyProtection="1">
      <alignment horizontal="left" wrapText="1"/>
    </xf>
    <xf numFmtId="0" fontId="14" fillId="4" borderId="0" xfId="0" applyFont="1" applyFill="1" applyBorder="1" applyAlignment="1" applyProtection="1">
      <alignment horizontal="left" vertical="top" wrapText="1"/>
      <protection locked="0"/>
    </xf>
    <xf numFmtId="0" fontId="14" fillId="4" borderId="13" xfId="0" applyFont="1" applyFill="1" applyBorder="1" applyAlignment="1" applyProtection="1">
      <alignment horizontal="left" vertical="top" wrapText="1"/>
      <protection locked="0"/>
    </xf>
    <xf numFmtId="0" fontId="20" fillId="5" borderId="0" xfId="0" applyFont="1" applyFill="1" applyBorder="1" applyAlignment="1" applyProtection="1">
      <alignment horizontal="right" vertical="center" wrapText="1"/>
    </xf>
    <xf numFmtId="0" fontId="17" fillId="5" borderId="0" xfId="0" applyFont="1" applyFill="1" applyBorder="1" applyAlignment="1" applyProtection="1">
      <alignment horizontal="center" vertical="center"/>
    </xf>
    <xf numFmtId="0" fontId="8" fillId="5" borderId="13" xfId="0" applyFont="1" applyFill="1" applyBorder="1" applyAlignment="1" applyProtection="1">
      <alignment horizontal="left" vertical="top" wrapText="1"/>
    </xf>
    <xf numFmtId="0" fontId="8" fillId="0" borderId="0" xfId="0" quotePrefix="1" applyFont="1" applyFill="1" applyBorder="1" applyAlignment="1" applyProtection="1">
      <alignment horizontal="left" vertical="top" wrapText="1" indent="1"/>
    </xf>
    <xf numFmtId="0" fontId="8" fillId="0" borderId="13" xfId="0" quotePrefix="1" applyFont="1" applyFill="1" applyBorder="1" applyAlignment="1" applyProtection="1">
      <alignment horizontal="left" vertical="top" wrapText="1" indent="1"/>
    </xf>
    <xf numFmtId="0" fontId="14" fillId="3" borderId="2" xfId="0" applyFont="1" applyFill="1" applyBorder="1" applyAlignment="1" applyProtection="1">
      <alignment horizontal="center"/>
    </xf>
    <xf numFmtId="0" fontId="14" fillId="3" borderId="5" xfId="0" applyFont="1" applyFill="1" applyBorder="1" applyAlignment="1" applyProtection="1">
      <alignment horizontal="center"/>
    </xf>
    <xf numFmtId="0" fontId="8" fillId="5" borderId="0" xfId="0" quotePrefix="1" applyFont="1" applyFill="1" applyBorder="1" applyAlignment="1" applyProtection="1">
      <alignment horizontal="left" vertical="top" wrapText="1" indent="1"/>
    </xf>
    <xf numFmtId="0" fontId="8" fillId="5" borderId="0" xfId="0" applyFont="1" applyFill="1" applyBorder="1" applyAlignment="1" applyProtection="1">
      <alignment horizontal="left" vertical="top" wrapText="1" indent="1"/>
    </xf>
    <xf numFmtId="0" fontId="8" fillId="5" borderId="13" xfId="0" applyFont="1" applyFill="1" applyBorder="1" applyAlignment="1" applyProtection="1">
      <alignment horizontal="left" vertical="top" wrapText="1" indent="1"/>
    </xf>
    <xf numFmtId="0" fontId="12" fillId="0" borderId="0" xfId="0" applyFont="1" applyFill="1" applyBorder="1" applyAlignment="1" applyProtection="1">
      <alignment horizontal="left" vertical="top" wrapText="1" indent="1"/>
    </xf>
    <xf numFmtId="0" fontId="13" fillId="5" borderId="0" xfId="0" applyFont="1" applyFill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638175</xdr:colOff>
          <xdr:row>0</xdr:row>
          <xdr:rowOff>28575</xdr:rowOff>
        </xdr:from>
        <xdr:to>
          <xdr:col>1</xdr:col>
          <xdr:colOff>2400300</xdr:colOff>
          <xdr:row>1</xdr:row>
          <xdr:rowOff>133350</xdr:rowOff>
        </xdr:to>
        <xdr:sp macro="" textlink="">
          <xdr:nvSpPr>
            <xdr:cNvPr id="4113" name="Button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C38A434D-CEBB-5A79-C601-BFA21F0C83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Click Here to Reset Sheet</a:t>
              </a:r>
            </a:p>
          </xdr:txBody>
        </xdr:sp>
        <xdr:clientData fPrintsWithSheet="0"/>
      </xdr:twoCellAnchor>
    </mc:Choice>
    <mc:Fallback/>
  </mc:AlternateContent>
  <xdr:twoCellAnchor>
    <xdr:from>
      <xdr:col>0</xdr:col>
      <xdr:colOff>114300</xdr:colOff>
      <xdr:row>1</xdr:row>
      <xdr:rowOff>0</xdr:rowOff>
    </xdr:from>
    <xdr:to>
      <xdr:col>1</xdr:col>
      <xdr:colOff>561975</xdr:colOff>
      <xdr:row>1</xdr:row>
      <xdr:rowOff>0</xdr:rowOff>
    </xdr:to>
    <xdr:sp macro="" textlink="">
      <xdr:nvSpPr>
        <xdr:cNvPr id="4117" name="Line 21">
          <a:extLst>
            <a:ext uri="{FF2B5EF4-FFF2-40B4-BE49-F238E27FC236}">
              <a16:creationId xmlns:a16="http://schemas.microsoft.com/office/drawing/2014/main" id="{A953D98B-E1EE-848A-ACCF-B8E57264252C}"/>
            </a:ext>
          </a:extLst>
        </xdr:cNvPr>
        <xdr:cNvSpPr>
          <a:spLocks noChangeShapeType="1"/>
        </xdr:cNvSpPr>
      </xdr:nvSpPr>
      <xdr:spPr bwMode="auto">
        <a:xfrm>
          <a:off x="114300" y="171450"/>
          <a:ext cx="600075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stealth" w="lg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F40C1-1A65-4897-804F-2A0590196DA2}">
  <sheetPr codeName="Sheet1">
    <pageSetUpPr fitToPage="1"/>
  </sheetPr>
  <dimension ref="A1:T97"/>
  <sheetViews>
    <sheetView showGridLines="0" showZeros="0" topLeftCell="A7" zoomScale="95" zoomScaleNormal="98" workbookViewId="0">
      <selection activeCell="J8" sqref="J8"/>
    </sheetView>
  </sheetViews>
  <sheetFormatPr defaultRowHeight="12" customHeight="1" x14ac:dyDescent="0.2"/>
  <cols>
    <col min="1" max="1" width="2.7109375" style="1" customWidth="1"/>
    <col min="2" max="2" width="26.7109375" style="1" customWidth="1"/>
    <col min="3" max="3" width="6.7109375" style="3" customWidth="1"/>
    <col min="4" max="4" width="6.7109375" style="66" customWidth="1"/>
    <col min="5" max="5" width="19.7109375" style="1" customWidth="1"/>
    <col min="6" max="6" width="6.7109375" style="1" customWidth="1"/>
    <col min="7" max="8" width="8.7109375" style="1" customWidth="1"/>
    <col min="9" max="9" width="6.7109375" style="3" customWidth="1"/>
    <col min="10" max="10" width="8.7109375" style="1" customWidth="1"/>
    <col min="11" max="11" width="8.7109375" style="70" customWidth="1"/>
    <col min="12" max="12" width="6.7109375" style="70" customWidth="1"/>
    <col min="13" max="14" width="8.7109375" style="70" customWidth="1"/>
    <col min="15" max="15" width="6.7109375" style="3" customWidth="1"/>
    <col min="16" max="20" width="8.7109375" style="1" customWidth="1"/>
    <col min="21" max="21" width="1.7109375" style="1" customWidth="1"/>
    <col min="22" max="16384" width="9.140625" style="1"/>
  </cols>
  <sheetData>
    <row r="1" spans="1:17" ht="19.899999999999999" customHeight="1" x14ac:dyDescent="0.2">
      <c r="A1" s="349" t="s">
        <v>50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1"/>
    </row>
    <row r="2" spans="1:17" ht="15" customHeight="1" x14ac:dyDescent="0.2">
      <c r="A2" s="2"/>
      <c r="B2" s="7">
        <v>9.2899999999999996E-2</v>
      </c>
      <c r="C2" s="346" t="s">
        <v>0</v>
      </c>
      <c r="D2" s="347"/>
      <c r="E2" s="348"/>
      <c r="F2" s="352" t="s">
        <v>84</v>
      </c>
      <c r="G2" s="353"/>
      <c r="H2" s="354"/>
      <c r="I2" s="337" t="s">
        <v>48</v>
      </c>
      <c r="J2" s="338"/>
      <c r="K2" s="339"/>
      <c r="L2" s="355" t="s">
        <v>49</v>
      </c>
      <c r="M2" s="356"/>
      <c r="N2" s="357"/>
      <c r="O2" s="355" t="s">
        <v>82</v>
      </c>
      <c r="P2" s="356"/>
      <c r="Q2" s="357"/>
    </row>
    <row r="3" spans="1:17" ht="15" customHeight="1" thickBot="1" x14ac:dyDescent="0.25">
      <c r="A3" s="38" t="s">
        <v>1</v>
      </c>
      <c r="B3" s="39"/>
      <c r="C3" s="40" t="s">
        <v>12</v>
      </c>
      <c r="D3" s="58" t="s">
        <v>13</v>
      </c>
      <c r="E3" s="41" t="s">
        <v>2</v>
      </c>
      <c r="F3" s="41" t="s">
        <v>3</v>
      </c>
      <c r="G3" s="41" t="s">
        <v>12</v>
      </c>
      <c r="H3" s="41" t="s">
        <v>13</v>
      </c>
      <c r="I3" s="136" t="s">
        <v>3</v>
      </c>
      <c r="J3" s="137" t="s">
        <v>12</v>
      </c>
      <c r="K3" s="138" t="s">
        <v>13</v>
      </c>
      <c r="L3" s="136" t="s">
        <v>3</v>
      </c>
      <c r="M3" s="137" t="s">
        <v>12</v>
      </c>
      <c r="N3" s="137" t="s">
        <v>13</v>
      </c>
      <c r="O3" s="136" t="s">
        <v>3</v>
      </c>
      <c r="P3" s="137" t="s">
        <v>12</v>
      </c>
      <c r="Q3" s="137" t="s">
        <v>13</v>
      </c>
    </row>
    <row r="4" spans="1:17" s="4" customFormat="1" ht="12" customHeight="1" x14ac:dyDescent="0.2">
      <c r="A4" s="359" t="s">
        <v>27</v>
      </c>
      <c r="B4" s="334" t="s">
        <v>78</v>
      </c>
      <c r="C4" s="335"/>
      <c r="D4" s="335"/>
      <c r="E4" s="336"/>
      <c r="F4" s="127"/>
      <c r="G4" s="128"/>
      <c r="H4" s="129"/>
      <c r="I4" s="126"/>
      <c r="J4" s="133"/>
      <c r="K4" s="134"/>
      <c r="L4" s="134"/>
      <c r="M4" s="134"/>
      <c r="N4" s="134"/>
      <c r="O4" s="126"/>
      <c r="P4" s="133"/>
      <c r="Q4" s="134"/>
    </row>
    <row r="5" spans="1:17" s="4" customFormat="1" ht="12" customHeight="1" x14ac:dyDescent="0.2">
      <c r="A5" s="359"/>
      <c r="B5" s="73" t="s">
        <v>18</v>
      </c>
      <c r="C5" s="16">
        <f>$B$23*D5</f>
        <v>125.41499999999999</v>
      </c>
      <c r="D5" s="59">
        <f>675*2</f>
        <v>1350</v>
      </c>
      <c r="E5" s="19" t="s">
        <v>80</v>
      </c>
      <c r="F5" s="11">
        <v>1</v>
      </c>
      <c r="G5" s="21">
        <f>C5*F5</f>
        <v>125.41499999999999</v>
      </c>
      <c r="H5" s="47">
        <f>F5*D5</f>
        <v>1350</v>
      </c>
      <c r="I5" s="126"/>
      <c r="J5" s="133"/>
      <c r="K5" s="134"/>
      <c r="L5" s="134"/>
      <c r="M5" s="134"/>
      <c r="N5" s="134"/>
      <c r="O5" s="126"/>
      <c r="P5" s="133"/>
      <c r="Q5" s="134"/>
    </row>
    <row r="6" spans="1:17" s="4" customFormat="1" ht="12" customHeight="1" x14ac:dyDescent="0.2">
      <c r="A6" s="359"/>
      <c r="B6" s="130" t="s">
        <v>17</v>
      </c>
      <c r="C6" s="131">
        <f>$B$23*D6</f>
        <v>5.5739999999999998</v>
      </c>
      <c r="D6" s="61">
        <v>60</v>
      </c>
      <c r="E6" s="132" t="s">
        <v>5</v>
      </c>
      <c r="F6" s="46">
        <v>1</v>
      </c>
      <c r="G6" s="48">
        <f>C6*F6</f>
        <v>5.5739999999999998</v>
      </c>
      <c r="H6" s="47">
        <f>F6*D6</f>
        <v>60</v>
      </c>
      <c r="I6" s="126"/>
      <c r="J6" s="133"/>
      <c r="K6" s="134"/>
      <c r="L6" s="134"/>
      <c r="M6" s="134"/>
      <c r="N6" s="134"/>
      <c r="O6" s="126"/>
      <c r="P6" s="133"/>
      <c r="Q6" s="134"/>
    </row>
    <row r="7" spans="1:17" s="4" customFormat="1" ht="12" customHeight="1" x14ac:dyDescent="0.2">
      <c r="A7" s="359"/>
      <c r="B7" s="15" t="s">
        <v>147</v>
      </c>
      <c r="C7" s="16">
        <f>$B$23*D7</f>
        <v>4.1804999999999994</v>
      </c>
      <c r="D7" s="59">
        <v>45</v>
      </c>
      <c r="E7" s="19" t="s">
        <v>55</v>
      </c>
      <c r="F7" s="11">
        <v>2</v>
      </c>
      <c r="G7" s="21">
        <f>C7*F7</f>
        <v>8.3609999999999989</v>
      </c>
      <c r="H7" s="47">
        <f>F7*D7</f>
        <v>90</v>
      </c>
      <c r="I7" s="126"/>
      <c r="J7" s="133"/>
      <c r="K7" s="134"/>
      <c r="L7" s="134"/>
      <c r="M7" s="134"/>
      <c r="N7" s="134"/>
      <c r="O7" s="126"/>
      <c r="P7" s="133"/>
      <c r="Q7" s="134"/>
    </row>
    <row r="8" spans="1:17" s="4" customFormat="1" ht="12" customHeight="1" x14ac:dyDescent="0.2">
      <c r="A8" s="5"/>
      <c r="B8" s="26"/>
      <c r="C8" s="27"/>
      <c r="D8" s="62"/>
      <c r="E8" s="28" t="s">
        <v>28</v>
      </c>
      <c r="F8" s="51"/>
      <c r="G8" s="76">
        <f>SUM(G4:G7)</f>
        <v>139.35</v>
      </c>
      <c r="H8" s="76">
        <f>SUM(H4:H7)</f>
        <v>1500</v>
      </c>
      <c r="I8" s="29"/>
      <c r="J8" s="95"/>
      <c r="K8" s="95"/>
      <c r="L8" s="95"/>
      <c r="M8" s="95"/>
      <c r="N8" s="95"/>
      <c r="O8" s="29"/>
      <c r="P8" s="95"/>
      <c r="Q8" s="95"/>
    </row>
    <row r="9" spans="1:17" s="4" customFormat="1" ht="12" customHeight="1" x14ac:dyDescent="0.2">
      <c r="A9" s="5"/>
      <c r="B9" s="31"/>
      <c r="C9" s="32"/>
      <c r="D9" s="63"/>
      <c r="E9" s="8" t="s">
        <v>7</v>
      </c>
      <c r="F9" s="54">
        <v>0.14000000000000001</v>
      </c>
      <c r="G9" s="43">
        <f>G8*F9</f>
        <v>19.509</v>
      </c>
      <c r="H9" s="30">
        <f>H8*F9</f>
        <v>210.00000000000003</v>
      </c>
      <c r="I9" s="96"/>
      <c r="J9" s="97"/>
      <c r="K9" s="98">
        <f>- K10</f>
        <v>0</v>
      </c>
      <c r="L9" s="98"/>
      <c r="M9" s="98"/>
      <c r="N9" s="98"/>
      <c r="O9" s="96"/>
      <c r="P9" s="97"/>
      <c r="Q9" s="98"/>
    </row>
    <row r="10" spans="1:17" s="4" customFormat="1" ht="12" customHeight="1" x14ac:dyDescent="0.2">
      <c r="A10" s="5"/>
      <c r="B10" s="33"/>
      <c r="C10" s="34"/>
      <c r="D10" s="64"/>
      <c r="E10" s="6" t="s">
        <v>29</v>
      </c>
      <c r="F10" s="52"/>
      <c r="G10" s="44">
        <f>SUM(G8:G9)</f>
        <v>158.85899999999998</v>
      </c>
      <c r="H10" s="30">
        <f>SUM(H8:H9)</f>
        <v>1710</v>
      </c>
      <c r="I10" s="29"/>
      <c r="J10" s="99"/>
      <c r="K10" s="98"/>
      <c r="L10" s="98"/>
      <c r="M10" s="98"/>
      <c r="N10" s="98"/>
      <c r="O10" s="29"/>
      <c r="P10" s="99"/>
      <c r="Q10" s="98"/>
    </row>
    <row r="11" spans="1:17" s="4" customFormat="1" ht="12" customHeight="1" x14ac:dyDescent="0.2">
      <c r="A11" s="360" t="s">
        <v>27</v>
      </c>
      <c r="B11" s="331" t="s">
        <v>81</v>
      </c>
      <c r="C11" s="332"/>
      <c r="D11" s="332"/>
      <c r="E11" s="333"/>
      <c r="F11" s="127"/>
      <c r="G11" s="128"/>
      <c r="H11" s="135"/>
      <c r="I11" s="126"/>
      <c r="J11" s="133"/>
      <c r="K11" s="134"/>
      <c r="L11" s="134"/>
      <c r="M11" s="134"/>
      <c r="N11" s="134"/>
      <c r="O11" s="126"/>
      <c r="P11" s="133"/>
      <c r="Q11" s="134"/>
    </row>
    <row r="12" spans="1:17" s="4" customFormat="1" ht="12" customHeight="1" x14ac:dyDescent="0.2">
      <c r="A12" s="359"/>
      <c r="B12" s="73" t="s">
        <v>18</v>
      </c>
      <c r="C12" s="16">
        <f>$B$23*D12</f>
        <v>97.545000000000002</v>
      </c>
      <c r="D12" s="59">
        <v>1050</v>
      </c>
      <c r="E12" s="19" t="s">
        <v>80</v>
      </c>
      <c r="F12" s="11">
        <v>1</v>
      </c>
      <c r="G12" s="21">
        <f>C12*F12</f>
        <v>97.545000000000002</v>
      </c>
      <c r="H12" s="47">
        <f>F12*D12</f>
        <v>1050</v>
      </c>
      <c r="I12" s="126"/>
      <c r="J12" s="133"/>
      <c r="K12" s="134"/>
      <c r="L12" s="134"/>
      <c r="M12" s="134"/>
      <c r="N12" s="134"/>
      <c r="O12" s="126"/>
      <c r="P12" s="133"/>
      <c r="Q12" s="134"/>
    </row>
    <row r="13" spans="1:17" s="4" customFormat="1" ht="12" customHeight="1" x14ac:dyDescent="0.2">
      <c r="A13" s="359"/>
      <c r="B13" s="130" t="s">
        <v>17</v>
      </c>
      <c r="C13" s="131">
        <f>$B$23*D13</f>
        <v>2.7869999999999999</v>
      </c>
      <c r="D13" s="61">
        <v>30</v>
      </c>
      <c r="E13" s="132" t="s">
        <v>5</v>
      </c>
      <c r="F13" s="46">
        <v>1</v>
      </c>
      <c r="G13" s="48">
        <f>C13*F13</f>
        <v>2.7869999999999999</v>
      </c>
      <c r="H13" s="47">
        <f>F13*D13</f>
        <v>30</v>
      </c>
      <c r="I13" s="126"/>
      <c r="J13" s="133"/>
      <c r="K13" s="134"/>
      <c r="L13" s="134"/>
      <c r="M13" s="134"/>
      <c r="N13" s="134"/>
      <c r="O13" s="126"/>
      <c r="P13" s="133"/>
      <c r="Q13" s="134"/>
    </row>
    <row r="14" spans="1:17" s="4" customFormat="1" ht="12" customHeight="1" x14ac:dyDescent="0.2">
      <c r="A14" s="359"/>
      <c r="B14" s="15" t="s">
        <v>147</v>
      </c>
      <c r="C14" s="16">
        <f>$B$23*D14</f>
        <v>0</v>
      </c>
      <c r="D14" s="59">
        <v>0</v>
      </c>
      <c r="E14" s="19" t="s">
        <v>55</v>
      </c>
      <c r="F14" s="11">
        <v>0</v>
      </c>
      <c r="G14" s="21">
        <f>C14*F14</f>
        <v>0</v>
      </c>
      <c r="H14" s="47">
        <f>F14*D14</f>
        <v>0</v>
      </c>
      <c r="I14" s="126"/>
      <c r="J14" s="133"/>
      <c r="K14" s="134"/>
      <c r="L14" s="134"/>
      <c r="M14" s="134"/>
      <c r="N14" s="134"/>
      <c r="O14" s="126"/>
      <c r="P14" s="133"/>
      <c r="Q14" s="134"/>
    </row>
    <row r="15" spans="1:17" s="4" customFormat="1" ht="12" customHeight="1" x14ac:dyDescent="0.2">
      <c r="A15" s="5"/>
      <c r="B15" s="26"/>
      <c r="C15" s="27"/>
      <c r="D15" s="62"/>
      <c r="E15" s="28" t="s">
        <v>28</v>
      </c>
      <c r="F15" s="51"/>
      <c r="G15" s="76">
        <f>SUM(G11:G14)</f>
        <v>100.33200000000001</v>
      </c>
      <c r="H15" s="76">
        <f>SUM(H11:H14)</f>
        <v>1080</v>
      </c>
      <c r="I15" s="126"/>
      <c r="J15" s="133"/>
      <c r="K15" s="134"/>
      <c r="L15" s="134"/>
      <c r="M15" s="134"/>
      <c r="N15" s="134"/>
      <c r="O15" s="126"/>
      <c r="P15" s="133"/>
      <c r="Q15" s="134"/>
    </row>
    <row r="16" spans="1:17" s="4" customFormat="1" ht="12" customHeight="1" x14ac:dyDescent="0.2">
      <c r="A16" s="5"/>
      <c r="B16" s="31"/>
      <c r="C16" s="32"/>
      <c r="D16" s="63"/>
      <c r="E16" s="8" t="s">
        <v>7</v>
      </c>
      <c r="F16" s="54">
        <v>0.14000000000000001</v>
      </c>
      <c r="G16" s="43">
        <f>G15*F16</f>
        <v>14.046480000000003</v>
      </c>
      <c r="H16" s="30">
        <f>H15*F16</f>
        <v>151.20000000000002</v>
      </c>
      <c r="I16" s="126"/>
      <c r="J16" s="133"/>
      <c r="K16" s="134"/>
      <c r="L16" s="134"/>
      <c r="M16" s="134"/>
      <c r="N16" s="134"/>
      <c r="O16" s="126"/>
      <c r="P16" s="133"/>
      <c r="Q16" s="134"/>
    </row>
    <row r="17" spans="1:17" s="4" customFormat="1" ht="12" customHeight="1" x14ac:dyDescent="0.2">
      <c r="A17" s="5"/>
      <c r="B17" s="33"/>
      <c r="C17" s="34"/>
      <c r="D17" s="64"/>
      <c r="E17" s="6" t="s">
        <v>29</v>
      </c>
      <c r="F17" s="52"/>
      <c r="G17" s="44">
        <f>SUM(G15:G16)</f>
        <v>114.37848000000001</v>
      </c>
      <c r="H17" s="30">
        <f>SUM(H15:H16)</f>
        <v>1231.2</v>
      </c>
      <c r="I17" s="126"/>
      <c r="J17" s="133"/>
      <c r="K17" s="134"/>
      <c r="L17" s="134"/>
      <c r="M17" s="134"/>
      <c r="N17" s="134"/>
      <c r="O17" s="126"/>
      <c r="P17" s="133"/>
      <c r="Q17" s="134"/>
    </row>
    <row r="18" spans="1:17" s="4" customFormat="1" ht="12" customHeight="1" x14ac:dyDescent="0.2">
      <c r="A18" s="320"/>
      <c r="B18" s="321"/>
      <c r="C18" s="337"/>
      <c r="D18" s="338"/>
      <c r="E18" s="339"/>
      <c r="F18" s="340" t="s">
        <v>143</v>
      </c>
      <c r="G18" s="341"/>
      <c r="H18" s="342"/>
      <c r="I18" s="340" t="s">
        <v>144</v>
      </c>
      <c r="J18" s="341"/>
      <c r="K18" s="342"/>
      <c r="L18" s="340" t="s">
        <v>145</v>
      </c>
      <c r="M18" s="341"/>
      <c r="N18" s="342"/>
      <c r="O18" s="281"/>
      <c r="P18" s="133"/>
      <c r="Q18" s="319"/>
    </row>
    <row r="19" spans="1:17" ht="12" customHeight="1" x14ac:dyDescent="0.2">
      <c r="A19" s="358" t="s">
        <v>24</v>
      </c>
      <c r="B19" s="246" t="s">
        <v>95</v>
      </c>
      <c r="C19" s="131">
        <f>$B$23*D19</f>
        <v>348.375</v>
      </c>
      <c r="D19" s="61">
        <f>30*125</f>
        <v>3750</v>
      </c>
      <c r="E19" s="47" t="s">
        <v>113</v>
      </c>
      <c r="F19" s="49">
        <v>1</v>
      </c>
      <c r="G19" s="247">
        <f>F19*$C$19</f>
        <v>348.375</v>
      </c>
      <c r="H19" s="248">
        <f>F19*$D$19</f>
        <v>3750</v>
      </c>
      <c r="I19" s="49">
        <v>2</v>
      </c>
      <c r="J19" s="247">
        <f>I19*$C$19</f>
        <v>696.75</v>
      </c>
      <c r="K19" s="248">
        <f>I19*$D$19</f>
        <v>7500</v>
      </c>
      <c r="L19" s="49">
        <v>3</v>
      </c>
      <c r="M19" s="247">
        <f>L19*$C$19</f>
        <v>1045.125</v>
      </c>
      <c r="N19" s="248">
        <f>L19*$D$19</f>
        <v>11250</v>
      </c>
      <c r="O19" s="242"/>
      <c r="P19" s="243"/>
      <c r="Q19" s="244"/>
    </row>
    <row r="20" spans="1:17" ht="12" customHeight="1" x14ac:dyDescent="0.2">
      <c r="A20" s="358"/>
      <c r="B20" s="57" t="s">
        <v>146</v>
      </c>
      <c r="C20" s="16">
        <f>$B$23*D20</f>
        <v>7.4319999999999995</v>
      </c>
      <c r="D20" s="61">
        <v>80</v>
      </c>
      <c r="E20" s="47" t="s">
        <v>5</v>
      </c>
      <c r="F20" s="46">
        <v>1</v>
      </c>
      <c r="G20" s="45">
        <f>F20*$C$20</f>
        <v>7.4319999999999995</v>
      </c>
      <c r="H20" s="14">
        <f>F20*$D$20</f>
        <v>80</v>
      </c>
      <c r="I20" s="49">
        <v>1</v>
      </c>
      <c r="J20" s="45">
        <f>I20*$C$20</f>
        <v>7.4319999999999995</v>
      </c>
      <c r="K20" s="14">
        <f>I20*$D$20</f>
        <v>80</v>
      </c>
      <c r="L20" s="49">
        <v>2</v>
      </c>
      <c r="M20" s="45">
        <f>L20*$C$20</f>
        <v>14.863999999999999</v>
      </c>
      <c r="N20" s="14">
        <f>L20*$D$20</f>
        <v>160</v>
      </c>
      <c r="O20" s="242"/>
      <c r="P20" s="243"/>
      <c r="Q20" s="244"/>
    </row>
    <row r="21" spans="1:17" s="4" customFormat="1" ht="12" customHeight="1" x14ac:dyDescent="0.2">
      <c r="A21" s="5"/>
      <c r="B21" s="31"/>
      <c r="C21" s="36"/>
      <c r="D21" s="63"/>
      <c r="E21" s="8" t="s">
        <v>11</v>
      </c>
      <c r="F21" s="53"/>
      <c r="G21" s="43">
        <f>SUM(G19:G20)</f>
        <v>355.80700000000002</v>
      </c>
      <c r="H21" s="43">
        <f>SUM(H19:H20)</f>
        <v>3830</v>
      </c>
      <c r="I21" s="29"/>
      <c r="J21" s="43">
        <f>SUM(J19:J20)</f>
        <v>704.18200000000002</v>
      </c>
      <c r="K21" s="43">
        <f>SUM(K19:K20)</f>
        <v>7580</v>
      </c>
      <c r="L21" s="97"/>
      <c r="M21" s="43">
        <f>SUM(M19:M20)</f>
        <v>1059.989</v>
      </c>
      <c r="N21" s="43">
        <f>SUM(N19:N20)</f>
        <v>11410</v>
      </c>
      <c r="O21" s="29"/>
      <c r="P21" s="97"/>
      <c r="Q21" s="97"/>
    </row>
    <row r="22" spans="1:17" ht="19.899999999999999" customHeight="1" x14ac:dyDescent="0.2">
      <c r="A22" s="349" t="s">
        <v>51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O22" s="350"/>
      <c r="P22" s="350"/>
      <c r="Q22" s="351"/>
    </row>
    <row r="23" spans="1:17" ht="15" customHeight="1" x14ac:dyDescent="0.2">
      <c r="A23" s="2"/>
      <c r="B23" s="7">
        <v>9.2899999999999996E-2</v>
      </c>
      <c r="C23" s="346" t="s">
        <v>0</v>
      </c>
      <c r="D23" s="347"/>
      <c r="E23" s="348"/>
      <c r="F23" s="340" t="s">
        <v>100</v>
      </c>
      <c r="G23" s="341"/>
      <c r="H23" s="342"/>
      <c r="I23" s="340" t="s">
        <v>101</v>
      </c>
      <c r="J23" s="341"/>
      <c r="K23" s="342"/>
      <c r="L23" s="345" t="s">
        <v>102</v>
      </c>
      <c r="M23" s="343"/>
      <c r="N23" s="344"/>
      <c r="O23" s="345" t="s">
        <v>103</v>
      </c>
      <c r="P23" s="343"/>
      <c r="Q23" s="344"/>
    </row>
    <row r="24" spans="1:17" s="42" customFormat="1" ht="15" customHeight="1" thickBot="1" x14ac:dyDescent="0.25">
      <c r="A24" s="38" t="s">
        <v>1</v>
      </c>
      <c r="B24" s="39"/>
      <c r="C24" s="40" t="s">
        <v>12</v>
      </c>
      <c r="D24" s="58" t="s">
        <v>13</v>
      </c>
      <c r="E24" s="41" t="s">
        <v>2</v>
      </c>
      <c r="F24" s="41" t="s">
        <v>3</v>
      </c>
      <c r="G24" s="41" t="s">
        <v>12</v>
      </c>
      <c r="H24" s="41" t="s">
        <v>13</v>
      </c>
      <c r="I24" s="41" t="s">
        <v>3</v>
      </c>
      <c r="J24" s="40" t="s">
        <v>12</v>
      </c>
      <c r="K24" s="68" t="s">
        <v>13</v>
      </c>
      <c r="L24" s="41" t="s">
        <v>3</v>
      </c>
      <c r="M24" s="40" t="s">
        <v>12</v>
      </c>
      <c r="N24" s="40" t="s">
        <v>13</v>
      </c>
      <c r="O24" s="41" t="s">
        <v>3</v>
      </c>
      <c r="P24" s="40" t="s">
        <v>12</v>
      </c>
      <c r="Q24" s="40" t="s">
        <v>13</v>
      </c>
    </row>
    <row r="25" spans="1:17" s="4" customFormat="1" ht="12" customHeight="1" x14ac:dyDescent="0.2">
      <c r="A25" s="361" t="s">
        <v>27</v>
      </c>
      <c r="B25" s="10" t="s">
        <v>151</v>
      </c>
      <c r="C25" s="77">
        <f>$B$1*D25</f>
        <v>0</v>
      </c>
      <c r="D25" s="78"/>
      <c r="E25" s="12" t="s">
        <v>152</v>
      </c>
      <c r="F25" s="79"/>
      <c r="G25" s="21">
        <f>(SUM(G26:G30)*1.1)</f>
        <v>59.883340000000004</v>
      </c>
      <c r="H25" s="21">
        <f>(SUM(H26:H30)*1.1)</f>
        <v>644.6</v>
      </c>
      <c r="I25" s="85"/>
      <c r="J25" s="21">
        <f>(SUM(J26:J30)*1.1)</f>
        <v>108.3214</v>
      </c>
      <c r="K25" s="21">
        <f>(SUM(K26:K30)*1.1)</f>
        <v>1166</v>
      </c>
      <c r="L25" s="85"/>
      <c r="M25" s="21">
        <f>(SUM(M26:M30)*1.1)</f>
        <v>164.52590000000004</v>
      </c>
      <c r="N25" s="21">
        <f>(SUM(N26:N30)*1.1)</f>
        <v>1771.0000000000002</v>
      </c>
      <c r="O25" s="85"/>
      <c r="P25" s="21">
        <f>(SUM(P26:P30)*1.1)</f>
        <v>220.73040000000003</v>
      </c>
      <c r="Q25" s="21">
        <f>(SUM(Q26:Q30)*1.1)</f>
        <v>2376</v>
      </c>
    </row>
    <row r="26" spans="1:17" s="4" customFormat="1" ht="12" customHeight="1" x14ac:dyDescent="0.2">
      <c r="A26" s="358"/>
      <c r="B26" s="15" t="s">
        <v>26</v>
      </c>
      <c r="C26" s="16">
        <f>$B$23*D26</f>
        <v>32.515000000000001</v>
      </c>
      <c r="D26" s="81">
        <v>350</v>
      </c>
      <c r="E26" s="12" t="s">
        <v>153</v>
      </c>
      <c r="F26" s="11">
        <v>1</v>
      </c>
      <c r="G26" s="21">
        <f>C26*F26</f>
        <v>32.515000000000001</v>
      </c>
      <c r="H26" s="47">
        <f>F26*D26</f>
        <v>350</v>
      </c>
      <c r="I26" s="11">
        <v>2</v>
      </c>
      <c r="J26" s="21">
        <f>I26*$C26</f>
        <v>65.03</v>
      </c>
      <c r="K26" s="69">
        <f>I26*$D26</f>
        <v>700</v>
      </c>
      <c r="L26" s="69">
        <v>3</v>
      </c>
      <c r="M26" s="21">
        <f>L26*$C26</f>
        <v>97.545000000000002</v>
      </c>
      <c r="N26" s="69">
        <f>L26*$D26</f>
        <v>1050</v>
      </c>
      <c r="O26" s="11">
        <v>4</v>
      </c>
      <c r="P26" s="18">
        <f>O26*C26</f>
        <v>130.06</v>
      </c>
      <c r="Q26" s="13">
        <f>O26*D26</f>
        <v>1400</v>
      </c>
    </row>
    <row r="27" spans="1:17" s="4" customFormat="1" ht="12" customHeight="1" x14ac:dyDescent="0.2">
      <c r="A27" s="358"/>
      <c r="B27" s="15" t="s">
        <v>42</v>
      </c>
      <c r="C27" s="77"/>
      <c r="D27" s="78"/>
      <c r="E27" s="82"/>
      <c r="F27" s="79"/>
      <c r="G27" s="18">
        <f>$B$23*H27</f>
        <v>7.4319999999999995</v>
      </c>
      <c r="H27" s="47">
        <v>80</v>
      </c>
      <c r="I27" s="79"/>
      <c r="J27" s="18">
        <f>$B$23*K27</f>
        <v>9.2899999999999991</v>
      </c>
      <c r="K27" s="69">
        <v>100</v>
      </c>
      <c r="L27" s="69"/>
      <c r="M27" s="18">
        <f>$B$23*N27</f>
        <v>9.2899999999999991</v>
      </c>
      <c r="N27" s="69">
        <v>100</v>
      </c>
      <c r="O27" s="79"/>
      <c r="P27" s="18">
        <f>$B$23*Q27</f>
        <v>11.148</v>
      </c>
      <c r="Q27" s="13">
        <v>120</v>
      </c>
    </row>
    <row r="28" spans="1:17" s="4" customFormat="1" ht="12" customHeight="1" x14ac:dyDescent="0.2">
      <c r="A28" s="358"/>
      <c r="B28" s="71" t="s">
        <v>31</v>
      </c>
      <c r="C28" s="16">
        <f>$B$23*D28</f>
        <v>1.1148</v>
      </c>
      <c r="D28" s="81">
        <v>12</v>
      </c>
      <c r="E28" s="80" t="s">
        <v>112</v>
      </c>
      <c r="F28" s="20">
        <v>8</v>
      </c>
      <c r="G28" s="21">
        <f t="shared" ref="G28:G37" si="0">C28*F28</f>
        <v>8.9184000000000001</v>
      </c>
      <c r="H28" s="47">
        <f t="shared" ref="H28:H37" si="1">F28*D28</f>
        <v>96</v>
      </c>
      <c r="I28" s="11">
        <v>15</v>
      </c>
      <c r="J28" s="21">
        <f>I28*$C28</f>
        <v>16.722000000000001</v>
      </c>
      <c r="K28" s="69">
        <f>I28*$D28</f>
        <v>180</v>
      </c>
      <c r="L28" s="69">
        <v>30</v>
      </c>
      <c r="M28" s="21">
        <f>L28*$C28</f>
        <v>33.444000000000003</v>
      </c>
      <c r="N28" s="69">
        <f>L28*$D28</f>
        <v>360</v>
      </c>
      <c r="O28" s="20">
        <v>45</v>
      </c>
      <c r="P28" s="18">
        <f t="shared" ref="P28:P37" si="2">O28*C28</f>
        <v>50.166000000000004</v>
      </c>
      <c r="Q28" s="13">
        <f t="shared" ref="Q28:Q37" si="3">O28*D28</f>
        <v>540</v>
      </c>
    </row>
    <row r="29" spans="1:17" s="4" customFormat="1" ht="12" customHeight="1" x14ac:dyDescent="0.2">
      <c r="A29" s="358"/>
      <c r="B29" s="71" t="s">
        <v>40</v>
      </c>
      <c r="C29" s="16">
        <f>$B$23*D29</f>
        <v>1.8579999999999999</v>
      </c>
      <c r="D29" s="59">
        <v>20</v>
      </c>
      <c r="E29" s="12" t="s">
        <v>44</v>
      </c>
      <c r="F29" s="11">
        <v>1</v>
      </c>
      <c r="G29" s="21">
        <f t="shared" si="0"/>
        <v>1.8579999999999999</v>
      </c>
      <c r="H29" s="47">
        <f t="shared" si="1"/>
        <v>20</v>
      </c>
      <c r="I29" s="11">
        <v>2</v>
      </c>
      <c r="J29" s="21">
        <f>I29*$C29</f>
        <v>3.7159999999999997</v>
      </c>
      <c r="K29" s="69">
        <f>I29*$D29</f>
        <v>40</v>
      </c>
      <c r="L29" s="69">
        <v>3</v>
      </c>
      <c r="M29" s="21">
        <f>L29*$C29</f>
        <v>5.5739999999999998</v>
      </c>
      <c r="N29" s="69">
        <f>L29*$D29</f>
        <v>60</v>
      </c>
      <c r="O29" s="20">
        <v>3</v>
      </c>
      <c r="P29" s="18">
        <f t="shared" si="2"/>
        <v>5.5739999999999998</v>
      </c>
      <c r="Q29" s="13">
        <f t="shared" si="3"/>
        <v>60</v>
      </c>
    </row>
    <row r="30" spans="1:17" s="4" customFormat="1" ht="12" customHeight="1" x14ac:dyDescent="0.2">
      <c r="A30" s="358"/>
      <c r="B30" s="15" t="s">
        <v>149</v>
      </c>
      <c r="C30" s="16">
        <f>$B$23*D30</f>
        <v>1.8579999999999999</v>
      </c>
      <c r="D30" s="81">
        <v>20</v>
      </c>
      <c r="E30" s="12" t="s">
        <v>41</v>
      </c>
      <c r="F30" s="11">
        <v>2</v>
      </c>
      <c r="G30" s="21">
        <f t="shared" si="0"/>
        <v>3.7159999999999997</v>
      </c>
      <c r="H30" s="47">
        <f t="shared" si="1"/>
        <v>40</v>
      </c>
      <c r="I30" s="11">
        <v>2</v>
      </c>
      <c r="J30" s="21">
        <f>I30*$C30</f>
        <v>3.7159999999999997</v>
      </c>
      <c r="K30" s="69">
        <f>I30*$D30</f>
        <v>40</v>
      </c>
      <c r="L30" s="69">
        <v>2</v>
      </c>
      <c r="M30" s="21">
        <f>L30*$C30</f>
        <v>3.7159999999999997</v>
      </c>
      <c r="N30" s="69">
        <f>L30*$D30</f>
        <v>40</v>
      </c>
      <c r="O30" s="11">
        <v>2</v>
      </c>
      <c r="P30" s="18">
        <f t="shared" si="2"/>
        <v>3.7159999999999997</v>
      </c>
      <c r="Q30" s="13">
        <f t="shared" si="3"/>
        <v>40</v>
      </c>
    </row>
    <row r="31" spans="1:17" s="4" customFormat="1" ht="12" customHeight="1" x14ac:dyDescent="0.2">
      <c r="A31" s="358"/>
      <c r="B31" s="10" t="s">
        <v>19</v>
      </c>
      <c r="C31" s="89"/>
      <c r="D31" s="78"/>
      <c r="E31" s="82"/>
      <c r="F31" s="79"/>
      <c r="G31" s="85">
        <f t="shared" si="0"/>
        <v>0</v>
      </c>
      <c r="H31" s="87">
        <f t="shared" si="1"/>
        <v>0</v>
      </c>
      <c r="I31" s="79"/>
      <c r="J31" s="85">
        <f t="shared" ref="J31:J37" si="4">I31*C31</f>
        <v>0</v>
      </c>
      <c r="K31" s="86">
        <f t="shared" ref="K31:K37" si="5">I31*D31</f>
        <v>0</v>
      </c>
      <c r="L31" s="86"/>
      <c r="M31" s="86"/>
      <c r="N31" s="86"/>
      <c r="O31" s="79"/>
      <c r="P31" s="85">
        <f t="shared" si="2"/>
        <v>0</v>
      </c>
      <c r="Q31" s="88">
        <f t="shared" si="3"/>
        <v>0</v>
      </c>
    </row>
    <row r="32" spans="1:17" s="4" customFormat="1" ht="12" customHeight="1" x14ac:dyDescent="0.2">
      <c r="A32" s="358"/>
      <c r="B32" s="15" t="s">
        <v>86</v>
      </c>
      <c r="C32" s="16">
        <f t="shared" ref="C32:C37" si="6">$B$23*D32</f>
        <v>97.545000000000002</v>
      </c>
      <c r="D32" s="59">
        <f>35*30</f>
        <v>1050</v>
      </c>
      <c r="E32" s="12" t="s">
        <v>5</v>
      </c>
      <c r="F32" s="11">
        <v>1</v>
      </c>
      <c r="G32" s="21">
        <f>C32*F32</f>
        <v>97.545000000000002</v>
      </c>
      <c r="H32" s="47">
        <f>F32*D32</f>
        <v>1050</v>
      </c>
      <c r="I32" s="20">
        <v>2</v>
      </c>
      <c r="J32" s="21">
        <f t="shared" si="4"/>
        <v>195.09</v>
      </c>
      <c r="K32" s="69">
        <f t="shared" si="5"/>
        <v>2100</v>
      </c>
      <c r="L32" s="69">
        <v>3</v>
      </c>
      <c r="M32" s="21">
        <f t="shared" ref="M32:M37" si="7">L32*$C32</f>
        <v>292.63499999999999</v>
      </c>
      <c r="N32" s="69">
        <f t="shared" ref="N32:N37" si="8">L32*$D32</f>
        <v>3150</v>
      </c>
      <c r="O32" s="20">
        <v>4</v>
      </c>
      <c r="P32" s="21">
        <f t="shared" si="2"/>
        <v>390.18</v>
      </c>
      <c r="Q32" s="22">
        <f t="shared" si="3"/>
        <v>4200</v>
      </c>
    </row>
    <row r="33" spans="1:17" s="4" customFormat="1" ht="12" customHeight="1" x14ac:dyDescent="0.2">
      <c r="A33" s="358"/>
      <c r="B33" s="71" t="s">
        <v>108</v>
      </c>
      <c r="C33" s="16">
        <f t="shared" si="6"/>
        <v>5.5739999999999998</v>
      </c>
      <c r="D33" s="81">
        <v>60</v>
      </c>
      <c r="E33" s="80" t="s">
        <v>5</v>
      </c>
      <c r="F33" s="11">
        <v>1</v>
      </c>
      <c r="G33" s="21">
        <f>C33*F33</f>
        <v>5.5739999999999998</v>
      </c>
      <c r="H33" s="47">
        <f>F33*D33</f>
        <v>60</v>
      </c>
      <c r="I33" s="20">
        <v>2</v>
      </c>
      <c r="J33" s="21">
        <f t="shared" si="4"/>
        <v>11.148</v>
      </c>
      <c r="K33" s="69">
        <f t="shared" si="5"/>
        <v>120</v>
      </c>
      <c r="L33" s="69">
        <v>3</v>
      </c>
      <c r="M33" s="21">
        <f t="shared" si="7"/>
        <v>16.722000000000001</v>
      </c>
      <c r="N33" s="69">
        <f t="shared" si="8"/>
        <v>180</v>
      </c>
      <c r="O33" s="20">
        <v>4</v>
      </c>
      <c r="P33" s="21">
        <f t="shared" si="2"/>
        <v>22.295999999999999</v>
      </c>
      <c r="Q33" s="22">
        <f t="shared" si="3"/>
        <v>240</v>
      </c>
    </row>
    <row r="34" spans="1:17" s="4" customFormat="1" ht="12" customHeight="1" x14ac:dyDescent="0.2">
      <c r="A34" s="358"/>
      <c r="B34" s="71" t="s">
        <v>110</v>
      </c>
      <c r="C34" s="16">
        <f t="shared" si="6"/>
        <v>2.7869999999999999</v>
      </c>
      <c r="D34" s="81">
        <v>30</v>
      </c>
      <c r="E34" s="80" t="s">
        <v>5</v>
      </c>
      <c r="F34" s="11">
        <v>1</v>
      </c>
      <c r="G34" s="21">
        <f>C34*F34</f>
        <v>2.7869999999999999</v>
      </c>
      <c r="H34" s="47">
        <f>F34*D34</f>
        <v>30</v>
      </c>
      <c r="I34" s="20">
        <v>2</v>
      </c>
      <c r="J34" s="21">
        <f t="shared" si="4"/>
        <v>5.5739999999999998</v>
      </c>
      <c r="K34" s="69">
        <f t="shared" si="5"/>
        <v>60</v>
      </c>
      <c r="L34" s="69">
        <v>3</v>
      </c>
      <c r="M34" s="21">
        <f t="shared" si="7"/>
        <v>8.3610000000000007</v>
      </c>
      <c r="N34" s="69">
        <f t="shared" si="8"/>
        <v>90</v>
      </c>
      <c r="O34" s="20">
        <v>4</v>
      </c>
      <c r="P34" s="21">
        <f>O34*C34</f>
        <v>11.148</v>
      </c>
      <c r="Q34" s="22">
        <f t="shared" si="3"/>
        <v>120</v>
      </c>
    </row>
    <row r="35" spans="1:17" s="4" customFormat="1" ht="12" customHeight="1" x14ac:dyDescent="0.2">
      <c r="A35" s="358"/>
      <c r="B35" s="15" t="s">
        <v>148</v>
      </c>
      <c r="C35" s="16">
        <f t="shared" si="6"/>
        <v>48.772500000000001</v>
      </c>
      <c r="D35" s="59">
        <v>525</v>
      </c>
      <c r="E35" s="12" t="s">
        <v>5</v>
      </c>
      <c r="F35" s="11">
        <v>1</v>
      </c>
      <c r="G35" s="21">
        <f t="shared" si="0"/>
        <v>48.772500000000001</v>
      </c>
      <c r="H35" s="47">
        <f t="shared" si="1"/>
        <v>525</v>
      </c>
      <c r="I35" s="20">
        <v>1</v>
      </c>
      <c r="J35" s="21">
        <f t="shared" si="4"/>
        <v>48.772500000000001</v>
      </c>
      <c r="K35" s="69">
        <f t="shared" si="5"/>
        <v>525</v>
      </c>
      <c r="L35" s="69">
        <v>2</v>
      </c>
      <c r="M35" s="21">
        <f t="shared" si="7"/>
        <v>97.545000000000002</v>
      </c>
      <c r="N35" s="69">
        <f t="shared" si="8"/>
        <v>1050</v>
      </c>
      <c r="O35" s="20">
        <v>2</v>
      </c>
      <c r="P35" s="21">
        <f t="shared" si="2"/>
        <v>97.545000000000002</v>
      </c>
      <c r="Q35" s="22">
        <f t="shared" si="3"/>
        <v>1050</v>
      </c>
    </row>
    <row r="36" spans="1:17" s="4" customFormat="1" ht="12" customHeight="1" x14ac:dyDescent="0.2">
      <c r="A36" s="358"/>
      <c r="B36" s="15" t="s">
        <v>150</v>
      </c>
      <c r="C36" s="16">
        <f t="shared" si="6"/>
        <v>4.1804999999999994</v>
      </c>
      <c r="D36" s="60">
        <v>45</v>
      </c>
      <c r="E36" s="19" t="s">
        <v>55</v>
      </c>
      <c r="F36" s="11">
        <v>2</v>
      </c>
      <c r="G36" s="21">
        <f t="shared" si="0"/>
        <v>8.3609999999999989</v>
      </c>
      <c r="H36" s="47">
        <f t="shared" si="1"/>
        <v>90</v>
      </c>
      <c r="I36" s="20">
        <v>4</v>
      </c>
      <c r="J36" s="21">
        <f t="shared" si="4"/>
        <v>16.721999999999998</v>
      </c>
      <c r="K36" s="69">
        <f t="shared" si="5"/>
        <v>180</v>
      </c>
      <c r="L36" s="69">
        <v>6</v>
      </c>
      <c r="M36" s="21">
        <f t="shared" si="7"/>
        <v>25.082999999999998</v>
      </c>
      <c r="N36" s="69">
        <f t="shared" si="8"/>
        <v>270</v>
      </c>
      <c r="O36" s="20">
        <v>8</v>
      </c>
      <c r="P36" s="21">
        <f t="shared" si="2"/>
        <v>33.443999999999996</v>
      </c>
      <c r="Q36" s="22">
        <f t="shared" si="3"/>
        <v>360</v>
      </c>
    </row>
    <row r="37" spans="1:17" s="4" customFormat="1" ht="12" customHeight="1" x14ac:dyDescent="0.2">
      <c r="A37" s="358"/>
      <c r="B37" s="73" t="s">
        <v>21</v>
      </c>
      <c r="C37" s="16">
        <f t="shared" si="6"/>
        <v>7.4319999999999995</v>
      </c>
      <c r="D37" s="59">
        <v>80</v>
      </c>
      <c r="E37" s="12" t="s">
        <v>23</v>
      </c>
      <c r="F37" s="11">
        <v>1</v>
      </c>
      <c r="G37" s="21">
        <f t="shared" si="0"/>
        <v>7.4319999999999995</v>
      </c>
      <c r="H37" s="47">
        <f t="shared" si="1"/>
        <v>80</v>
      </c>
      <c r="I37" s="20">
        <v>1</v>
      </c>
      <c r="J37" s="21">
        <f t="shared" si="4"/>
        <v>7.4319999999999995</v>
      </c>
      <c r="K37" s="69">
        <f t="shared" si="5"/>
        <v>80</v>
      </c>
      <c r="L37" s="69">
        <v>2</v>
      </c>
      <c r="M37" s="21">
        <f t="shared" si="7"/>
        <v>14.863999999999999</v>
      </c>
      <c r="N37" s="69">
        <f t="shared" si="8"/>
        <v>160</v>
      </c>
      <c r="O37" s="20">
        <v>2</v>
      </c>
      <c r="P37" s="21">
        <f t="shared" si="2"/>
        <v>14.863999999999999</v>
      </c>
      <c r="Q37" s="22">
        <f t="shared" si="3"/>
        <v>160</v>
      </c>
    </row>
    <row r="38" spans="1:17" s="4" customFormat="1" ht="12" customHeight="1" x14ac:dyDescent="0.2">
      <c r="A38" s="5"/>
      <c r="B38" s="26"/>
      <c r="C38" s="27"/>
      <c r="D38" s="62"/>
      <c r="E38" s="28" t="s">
        <v>28</v>
      </c>
      <c r="F38" s="51"/>
      <c r="G38" s="30">
        <f>SUM(G31:G37)+G25</f>
        <v>230.35484</v>
      </c>
      <c r="H38" s="30">
        <f>SUM(H31:H37)+H25</f>
        <v>2479.6</v>
      </c>
      <c r="I38" s="29"/>
      <c r="J38" s="30">
        <f>SUM(J31:J37)+J25</f>
        <v>393.05989999999997</v>
      </c>
      <c r="K38" s="30">
        <f>SUM(K31:K37)+K25</f>
        <v>4231</v>
      </c>
      <c r="L38" s="29"/>
      <c r="M38" s="30">
        <f>SUM(M31:M37)+M25</f>
        <v>619.73590000000002</v>
      </c>
      <c r="N38" s="30">
        <f>SUM(N31:N37)+N25</f>
        <v>6671</v>
      </c>
      <c r="O38" s="29"/>
      <c r="P38" s="30">
        <f>SUM(P31:P37)+P25</f>
        <v>790.20740000000001</v>
      </c>
      <c r="Q38" s="30">
        <f>SUM(Q31:Q37)+Q25</f>
        <v>8506</v>
      </c>
    </row>
    <row r="39" spans="1:17" s="4" customFormat="1" ht="12" customHeight="1" x14ac:dyDescent="0.2">
      <c r="A39" s="5"/>
      <c r="B39" s="31"/>
      <c r="C39" s="32"/>
      <c r="D39" s="63"/>
      <c r="E39" s="8" t="s">
        <v>7</v>
      </c>
      <c r="F39" s="54">
        <v>0.14000000000000001</v>
      </c>
      <c r="G39" s="43">
        <f>G38*F39</f>
        <v>32.249677600000005</v>
      </c>
      <c r="H39" s="30">
        <f>H38*F39</f>
        <v>347.14400000000001</v>
      </c>
      <c r="I39" s="54">
        <v>0.14000000000000001</v>
      </c>
      <c r="J39" s="43">
        <f>J38*I39</f>
        <v>55.028385999999998</v>
      </c>
      <c r="K39" s="30">
        <f>K38*I39</f>
        <v>592.34</v>
      </c>
      <c r="L39" s="54">
        <v>0.14000000000000001</v>
      </c>
      <c r="M39" s="43">
        <f>M38*L39</f>
        <v>86.763026000000011</v>
      </c>
      <c r="N39" s="30">
        <f>N38*L39</f>
        <v>933.94</v>
      </c>
      <c r="O39" s="54">
        <v>0.14000000000000001</v>
      </c>
      <c r="P39" s="43">
        <f>P38*O39</f>
        <v>110.62903600000001</v>
      </c>
      <c r="Q39" s="30">
        <f>Q38*O39</f>
        <v>1190.8400000000001</v>
      </c>
    </row>
    <row r="40" spans="1:17" s="4" customFormat="1" ht="12" customHeight="1" x14ac:dyDescent="0.2">
      <c r="A40" s="5"/>
      <c r="B40" s="33"/>
      <c r="C40" s="34"/>
      <c r="D40" s="64"/>
      <c r="E40" s="6" t="s">
        <v>29</v>
      </c>
      <c r="F40" s="52"/>
      <c r="G40" s="44">
        <f>SUM(G38:G39)</f>
        <v>262.60451760000001</v>
      </c>
      <c r="H40" s="30">
        <f>SUM(H38:H39)</f>
        <v>2826.7439999999997</v>
      </c>
      <c r="I40" s="29"/>
      <c r="J40" s="44">
        <f>SUM(J38:J39)</f>
        <v>448.08828599999998</v>
      </c>
      <c r="K40" s="30">
        <f>SUM(K38:K39)</f>
        <v>4823.34</v>
      </c>
      <c r="L40" s="29"/>
      <c r="M40" s="44">
        <f>SUM(M38:M39)</f>
        <v>706.49892599999998</v>
      </c>
      <c r="N40" s="30">
        <f>SUM(N38:N39)</f>
        <v>7604.9400000000005</v>
      </c>
      <c r="O40" s="29"/>
      <c r="P40" s="44">
        <f>SUM(P38:P39)</f>
        <v>900.83643600000005</v>
      </c>
      <c r="Q40" s="30">
        <f>SUM(Q38:Q39)</f>
        <v>9696.84</v>
      </c>
    </row>
    <row r="41" spans="1:17" ht="19.899999999999999" customHeight="1" x14ac:dyDescent="0.2">
      <c r="A41" s="349" t="s">
        <v>56</v>
      </c>
      <c r="B41" s="350"/>
      <c r="C41" s="350"/>
      <c r="D41" s="350"/>
      <c r="E41" s="350"/>
      <c r="F41" s="350"/>
      <c r="G41" s="350"/>
      <c r="H41" s="350"/>
      <c r="I41" s="350"/>
      <c r="J41" s="350"/>
      <c r="K41" s="350"/>
      <c r="L41" s="350"/>
      <c r="M41" s="350"/>
      <c r="N41" s="350"/>
      <c r="O41" s="350"/>
      <c r="P41" s="350"/>
      <c r="Q41" s="351"/>
    </row>
    <row r="42" spans="1:17" ht="15" customHeight="1" x14ac:dyDescent="0.2">
      <c r="A42" s="2"/>
      <c r="B42" s="7">
        <v>9.2899999999999996E-2</v>
      </c>
      <c r="C42" s="346" t="s">
        <v>0</v>
      </c>
      <c r="D42" s="347"/>
      <c r="E42" s="348"/>
      <c r="F42" s="340" t="s">
        <v>96</v>
      </c>
      <c r="G42" s="341"/>
      <c r="H42" s="342"/>
      <c r="I42" s="340" t="s">
        <v>99</v>
      </c>
      <c r="J42" s="341"/>
      <c r="K42" s="342"/>
      <c r="L42" s="345" t="s">
        <v>97</v>
      </c>
      <c r="M42" s="343"/>
      <c r="N42" s="344"/>
      <c r="O42" s="345" t="s">
        <v>98</v>
      </c>
      <c r="P42" s="343"/>
      <c r="Q42" s="344"/>
    </row>
    <row r="43" spans="1:17" ht="15" customHeight="1" thickBot="1" x14ac:dyDescent="0.25">
      <c r="A43" s="38" t="s">
        <v>1</v>
      </c>
      <c r="B43" s="39"/>
      <c r="C43" s="40" t="s">
        <v>12</v>
      </c>
      <c r="D43" s="58" t="s">
        <v>13</v>
      </c>
      <c r="E43" s="41" t="s">
        <v>2</v>
      </c>
      <c r="F43" s="41" t="s">
        <v>3</v>
      </c>
      <c r="G43" s="41" t="s">
        <v>12</v>
      </c>
      <c r="H43" s="41" t="s">
        <v>13</v>
      </c>
      <c r="I43" s="41" t="s">
        <v>3</v>
      </c>
      <c r="J43" s="40" t="s">
        <v>12</v>
      </c>
      <c r="K43" s="68" t="s">
        <v>13</v>
      </c>
      <c r="L43" s="41" t="s">
        <v>3</v>
      </c>
      <c r="M43" s="40" t="s">
        <v>12</v>
      </c>
      <c r="N43" s="40" t="s">
        <v>13</v>
      </c>
      <c r="O43" s="41" t="s">
        <v>3</v>
      </c>
      <c r="P43" s="40" t="s">
        <v>12</v>
      </c>
      <c r="Q43" s="40" t="s">
        <v>13</v>
      </c>
    </row>
    <row r="44" spans="1:17" ht="12" customHeight="1" x14ac:dyDescent="0.2">
      <c r="A44" s="361" t="s">
        <v>75</v>
      </c>
      <c r="B44" s="10" t="s">
        <v>111</v>
      </c>
      <c r="C44" s="25">
        <f>$B$23*D44</f>
        <v>3.2515000000000001</v>
      </c>
      <c r="D44" s="59">
        <v>35</v>
      </c>
      <c r="E44" s="12" t="s">
        <v>54</v>
      </c>
      <c r="F44" s="11">
        <v>15</v>
      </c>
      <c r="G44" s="21">
        <f>C44*F44</f>
        <v>48.772500000000001</v>
      </c>
      <c r="H44" s="47">
        <f>F44*D44</f>
        <v>525</v>
      </c>
      <c r="I44" s="141">
        <v>30</v>
      </c>
      <c r="J44" s="142">
        <f>I44*C44</f>
        <v>97.545000000000002</v>
      </c>
      <c r="K44" s="143">
        <f>I44*D44</f>
        <v>1050</v>
      </c>
      <c r="L44" s="143">
        <v>45</v>
      </c>
      <c r="M44" s="21">
        <f>L44*$C44</f>
        <v>146.3175</v>
      </c>
      <c r="N44" s="69">
        <f>L44*$D44</f>
        <v>1575</v>
      </c>
      <c r="O44" s="20">
        <v>60</v>
      </c>
      <c r="P44" s="21">
        <f>O44*C44</f>
        <v>195.09</v>
      </c>
      <c r="Q44" s="22">
        <f>O44*D44</f>
        <v>2100</v>
      </c>
    </row>
    <row r="45" spans="1:17" ht="12" customHeight="1" x14ac:dyDescent="0.2">
      <c r="A45" s="358"/>
      <c r="B45" s="15" t="s">
        <v>17</v>
      </c>
      <c r="C45" s="25">
        <f>$B$23*D45</f>
        <v>3.7159999999999997</v>
      </c>
      <c r="D45" s="59">
        <v>40</v>
      </c>
      <c r="E45" s="12" t="s">
        <v>5</v>
      </c>
      <c r="F45" s="11">
        <v>1</v>
      </c>
      <c r="G45" s="21">
        <f>C45*F45</f>
        <v>3.7159999999999997</v>
      </c>
      <c r="H45" s="47">
        <f>F45*D45</f>
        <v>40</v>
      </c>
      <c r="I45" s="141">
        <v>1</v>
      </c>
      <c r="J45" s="142">
        <f>I45*C45</f>
        <v>3.7159999999999997</v>
      </c>
      <c r="K45" s="143">
        <f>I45*D45</f>
        <v>40</v>
      </c>
      <c r="L45" s="143">
        <v>2</v>
      </c>
      <c r="M45" s="21">
        <f>L45*$C45</f>
        <v>7.4319999999999995</v>
      </c>
      <c r="N45" s="69">
        <f>L45*$D45</f>
        <v>80</v>
      </c>
      <c r="O45" s="20">
        <v>2</v>
      </c>
      <c r="P45" s="21">
        <f>O45*C45</f>
        <v>7.4319999999999995</v>
      </c>
      <c r="Q45" s="22">
        <f>O45*D45</f>
        <v>80</v>
      </c>
    </row>
    <row r="46" spans="1:17" s="4" customFormat="1" ht="12" customHeight="1" x14ac:dyDescent="0.2">
      <c r="A46" s="5"/>
      <c r="B46" s="26"/>
      <c r="C46" s="27"/>
      <c r="D46" s="62"/>
      <c r="E46" s="28" t="s">
        <v>28</v>
      </c>
      <c r="F46" s="51"/>
      <c r="G46" s="76">
        <f>SUM(G44:G45)</f>
        <v>52.488500000000002</v>
      </c>
      <c r="H46" s="76">
        <f>SUM(H44:H45)</f>
        <v>565</v>
      </c>
      <c r="I46" s="29"/>
      <c r="J46" s="144">
        <f>SUM(J44:J45)</f>
        <v>101.261</v>
      </c>
      <c r="K46" s="144">
        <f>SUM(K44:K45)</f>
        <v>1090</v>
      </c>
      <c r="L46" s="51"/>
      <c r="M46" s="76">
        <f>SUM(M44:M45)</f>
        <v>153.74949999999998</v>
      </c>
      <c r="N46" s="76">
        <f>SUM(N44:N45)</f>
        <v>1655</v>
      </c>
      <c r="O46" s="29"/>
      <c r="P46" s="76">
        <f>SUM(P44:P45)</f>
        <v>202.52199999999999</v>
      </c>
      <c r="Q46" s="76">
        <f>SUM(Q44:Q45)</f>
        <v>2180</v>
      </c>
    </row>
    <row r="47" spans="1:17" s="4" customFormat="1" ht="12" customHeight="1" x14ac:dyDescent="0.2">
      <c r="A47" s="5"/>
      <c r="B47" s="31"/>
      <c r="C47" s="32"/>
      <c r="D47" s="63"/>
      <c r="E47" s="8" t="s">
        <v>7</v>
      </c>
      <c r="F47" s="54">
        <v>0.14000000000000001</v>
      </c>
      <c r="G47" s="43">
        <f>G46*F47</f>
        <v>7.3483900000000011</v>
      </c>
      <c r="H47" s="30">
        <f>H46*F47</f>
        <v>79.100000000000009</v>
      </c>
      <c r="I47" s="145">
        <v>0.14000000000000001</v>
      </c>
      <c r="J47" s="146">
        <f>J46*I47</f>
        <v>14.176540000000001</v>
      </c>
      <c r="K47" s="147">
        <f>K46*I47</f>
        <v>152.60000000000002</v>
      </c>
      <c r="L47" s="54">
        <v>0.14000000000000001</v>
      </c>
      <c r="M47" s="43">
        <f>M46*L47</f>
        <v>21.524930000000001</v>
      </c>
      <c r="N47" s="30">
        <f>N46*L47</f>
        <v>231.70000000000002</v>
      </c>
      <c r="O47" s="54">
        <v>0.14000000000000001</v>
      </c>
      <c r="P47" s="43">
        <f>P46*O47</f>
        <v>28.353080000000002</v>
      </c>
      <c r="Q47" s="30">
        <f>Q46*O47</f>
        <v>305.20000000000005</v>
      </c>
    </row>
    <row r="48" spans="1:17" s="4" customFormat="1" ht="12" customHeight="1" x14ac:dyDescent="0.2">
      <c r="A48" s="5"/>
      <c r="B48" s="33"/>
      <c r="C48" s="34"/>
      <c r="D48" s="64"/>
      <c r="E48" s="6" t="s">
        <v>29</v>
      </c>
      <c r="F48" s="52"/>
      <c r="G48" s="44">
        <f>SUM(G46:G47)</f>
        <v>59.836890000000004</v>
      </c>
      <c r="H48" s="30">
        <f>SUM(H46:H47)</f>
        <v>644.1</v>
      </c>
      <c r="I48" s="29"/>
      <c r="J48" s="148">
        <f>SUM(J46:J47)</f>
        <v>115.43754</v>
      </c>
      <c r="K48" s="147">
        <f>SUM(K46:K47)</f>
        <v>1242.5999999999999</v>
      </c>
      <c r="L48" s="52"/>
      <c r="M48" s="44">
        <f>SUM(M46:M47)</f>
        <v>175.27443</v>
      </c>
      <c r="N48" s="30">
        <f>SUM(N46:N47)</f>
        <v>1886.7</v>
      </c>
      <c r="O48" s="29"/>
      <c r="P48" s="44">
        <f>SUM(P46:P47)</f>
        <v>230.87508</v>
      </c>
      <c r="Q48" s="30">
        <f>SUM(Q46:Q47)</f>
        <v>2485.1999999999998</v>
      </c>
    </row>
    <row r="49" spans="1:17" ht="12" customHeight="1" x14ac:dyDescent="0.2">
      <c r="A49" s="125" t="s">
        <v>76</v>
      </c>
      <c r="B49" s="57" t="s">
        <v>109</v>
      </c>
      <c r="C49" s="16">
        <f>$B$23*D49</f>
        <v>185.79999999999998</v>
      </c>
      <c r="D49" s="61">
        <v>2000</v>
      </c>
      <c r="E49" s="47" t="s">
        <v>77</v>
      </c>
      <c r="F49" s="46">
        <v>1</v>
      </c>
      <c r="G49" s="45">
        <f>F49*C49</f>
        <v>185.79999999999998</v>
      </c>
      <c r="H49" s="14">
        <f>F49*D49</f>
        <v>2000</v>
      </c>
      <c r="I49" s="149">
        <v>1</v>
      </c>
      <c r="J49" s="150">
        <f>I49*C49</f>
        <v>185.79999999999998</v>
      </c>
      <c r="K49" s="248">
        <f>I49*D49</f>
        <v>2000</v>
      </c>
      <c r="L49" s="46">
        <v>2</v>
      </c>
      <c r="M49" s="21">
        <f>L49*$C49</f>
        <v>371.59999999999997</v>
      </c>
      <c r="N49" s="69">
        <f>L49*$D49</f>
        <v>4000</v>
      </c>
      <c r="O49" s="49">
        <v>2</v>
      </c>
      <c r="P49" s="45">
        <f>O49*C49</f>
        <v>371.59999999999997</v>
      </c>
      <c r="Q49" s="14">
        <f>O49*D49</f>
        <v>4000</v>
      </c>
    </row>
    <row r="50" spans="1:17" s="4" customFormat="1" ht="12" customHeight="1" x14ac:dyDescent="0.2">
      <c r="A50" s="5"/>
      <c r="B50" s="31"/>
      <c r="C50" s="36"/>
      <c r="D50" s="63"/>
      <c r="E50" s="8" t="s">
        <v>11</v>
      </c>
      <c r="F50" s="53"/>
      <c r="G50" s="43">
        <f>SUM(G49:G49)</f>
        <v>185.79999999999998</v>
      </c>
      <c r="H50" s="43">
        <f>SUM(H49:H49)</f>
        <v>2000</v>
      </c>
      <c r="I50" s="29"/>
      <c r="J50" s="146">
        <f>SUM(J49:J49)</f>
        <v>185.79999999999998</v>
      </c>
      <c r="K50" s="146">
        <f>SUM(K49:K49)</f>
        <v>2000</v>
      </c>
      <c r="L50" s="53"/>
      <c r="M50" s="43">
        <f>SUM(M49:M49)</f>
        <v>371.59999999999997</v>
      </c>
      <c r="N50" s="43">
        <f>SUM(N49:N49)</f>
        <v>4000</v>
      </c>
      <c r="O50" s="29"/>
      <c r="P50" s="43">
        <f>SUM(P49:P49)</f>
        <v>371.59999999999997</v>
      </c>
      <c r="Q50" s="43">
        <f>SUM(Q49:Q49)</f>
        <v>4000</v>
      </c>
    </row>
    <row r="51" spans="1:17" ht="19.899999999999999" customHeight="1" x14ac:dyDescent="0.2">
      <c r="A51" s="349" t="s">
        <v>57</v>
      </c>
      <c r="B51" s="350"/>
      <c r="C51" s="350"/>
      <c r="D51" s="350"/>
      <c r="E51" s="350"/>
      <c r="F51" s="350"/>
      <c r="G51" s="350"/>
      <c r="H51" s="350"/>
      <c r="I51" s="350"/>
      <c r="J51" s="350"/>
      <c r="K51" s="350"/>
      <c r="L51" s="350"/>
      <c r="M51" s="350"/>
      <c r="N51" s="350"/>
      <c r="O51" s="350"/>
      <c r="P51" s="350"/>
      <c r="Q51" s="351"/>
    </row>
    <row r="52" spans="1:17" ht="15" customHeight="1" x14ac:dyDescent="0.2">
      <c r="A52" s="2"/>
      <c r="B52" s="7">
        <v>9.2899999999999996E-2</v>
      </c>
      <c r="C52" s="346" t="s">
        <v>0</v>
      </c>
      <c r="D52" s="347"/>
      <c r="E52" s="348"/>
      <c r="F52" s="340" t="s">
        <v>59</v>
      </c>
      <c r="G52" s="341"/>
      <c r="H52" s="342"/>
      <c r="I52" s="340" t="s">
        <v>60</v>
      </c>
      <c r="J52" s="341"/>
      <c r="K52" s="342"/>
      <c r="L52" s="345" t="s">
        <v>61</v>
      </c>
      <c r="M52" s="343"/>
      <c r="N52" s="344"/>
      <c r="O52" s="345" t="s">
        <v>83</v>
      </c>
      <c r="P52" s="343"/>
      <c r="Q52" s="344"/>
    </row>
    <row r="53" spans="1:17" ht="15" customHeight="1" thickBot="1" x14ac:dyDescent="0.25">
      <c r="A53" s="38" t="s">
        <v>1</v>
      </c>
      <c r="B53" s="39"/>
      <c r="C53" s="40" t="s">
        <v>12</v>
      </c>
      <c r="D53" s="58" t="s">
        <v>13</v>
      </c>
      <c r="E53" s="41" t="s">
        <v>2</v>
      </c>
      <c r="F53" s="41" t="s">
        <v>3</v>
      </c>
      <c r="G53" s="41" t="s">
        <v>12</v>
      </c>
      <c r="H53" s="41" t="s">
        <v>13</v>
      </c>
      <c r="I53" s="41" t="s">
        <v>3</v>
      </c>
      <c r="J53" s="40" t="s">
        <v>12</v>
      </c>
      <c r="K53" s="68" t="s">
        <v>13</v>
      </c>
      <c r="L53" s="41" t="s">
        <v>3</v>
      </c>
      <c r="M53" s="40" t="s">
        <v>12</v>
      </c>
      <c r="N53" s="40" t="s">
        <v>13</v>
      </c>
      <c r="O53" s="41" t="s">
        <v>3</v>
      </c>
      <c r="P53" s="40" t="s">
        <v>12</v>
      </c>
      <c r="Q53" s="40" t="s">
        <v>13</v>
      </c>
    </row>
    <row r="54" spans="1:17" ht="12" customHeight="1" x14ac:dyDescent="0.2">
      <c r="A54" s="358" t="s">
        <v>27</v>
      </c>
      <c r="B54" s="10" t="s">
        <v>22</v>
      </c>
      <c r="C54" s="16">
        <f>$B$23*D54</f>
        <v>1.3935</v>
      </c>
      <c r="D54" s="59">
        <v>15</v>
      </c>
      <c r="E54" s="12" t="s">
        <v>85</v>
      </c>
      <c r="F54" s="20">
        <v>15</v>
      </c>
      <c r="G54" s="21">
        <f>C54*F54</f>
        <v>20.9025</v>
      </c>
      <c r="H54" s="50">
        <f>F54*D54</f>
        <v>225</v>
      </c>
      <c r="I54" s="20">
        <v>30</v>
      </c>
      <c r="J54" s="21">
        <f>I54*$C54</f>
        <v>41.805</v>
      </c>
      <c r="K54" s="69">
        <f>I54*$D54</f>
        <v>450</v>
      </c>
      <c r="L54" s="69">
        <v>40</v>
      </c>
      <c r="M54" s="21">
        <f>L54*$C54</f>
        <v>55.739999999999995</v>
      </c>
      <c r="N54" s="69">
        <f>L54*$D54</f>
        <v>600</v>
      </c>
      <c r="O54" s="20">
        <v>50</v>
      </c>
      <c r="P54" s="18">
        <f>O54*C54</f>
        <v>69.674999999999997</v>
      </c>
      <c r="Q54" s="13">
        <f>O54*D54</f>
        <v>750</v>
      </c>
    </row>
    <row r="55" spans="1:17" ht="12" customHeight="1" x14ac:dyDescent="0.2">
      <c r="A55" s="358"/>
      <c r="B55" s="10" t="s">
        <v>87</v>
      </c>
      <c r="C55" s="77">
        <f>$B$1*D55</f>
        <v>0</v>
      </c>
      <c r="D55" s="78">
        <v>50</v>
      </c>
      <c r="E55" s="82" t="s">
        <v>43</v>
      </c>
      <c r="F55" s="79">
        <v>2</v>
      </c>
      <c r="G55" s="21">
        <f>H55*$B$23</f>
        <v>6.9674999999999994</v>
      </c>
      <c r="H55" s="47">
        <v>75</v>
      </c>
      <c r="I55" s="79">
        <v>3</v>
      </c>
      <c r="J55" s="21">
        <f>K55*$B$23</f>
        <v>11.612499999999999</v>
      </c>
      <c r="K55" s="69">
        <v>125</v>
      </c>
      <c r="L55" s="86"/>
      <c r="M55" s="21">
        <f>N55*$B$23</f>
        <v>16.2575</v>
      </c>
      <c r="N55" s="13">
        <v>175</v>
      </c>
      <c r="O55" s="79">
        <v>4</v>
      </c>
      <c r="P55" s="21">
        <f>Q55*$B$23</f>
        <v>18.579999999999998</v>
      </c>
      <c r="Q55" s="13">
        <v>200</v>
      </c>
    </row>
    <row r="56" spans="1:17" ht="12" customHeight="1" x14ac:dyDescent="0.2">
      <c r="A56" s="358"/>
      <c r="B56" s="10" t="s">
        <v>16</v>
      </c>
      <c r="C56" s="16">
        <f>$B$23*D56</f>
        <v>2.0438000000000001</v>
      </c>
      <c r="D56" s="59">
        <v>22</v>
      </c>
      <c r="E56" s="12" t="s">
        <v>4</v>
      </c>
      <c r="F56" s="11">
        <v>10</v>
      </c>
      <c r="G56" s="21">
        <f>C56*F56</f>
        <v>20.438000000000002</v>
      </c>
      <c r="H56" s="50">
        <f>F56*D56</f>
        <v>220</v>
      </c>
      <c r="I56" s="20">
        <v>16</v>
      </c>
      <c r="J56" s="21">
        <f>I56*C56</f>
        <v>32.700800000000001</v>
      </c>
      <c r="K56" s="69">
        <f>I56*D56</f>
        <v>352</v>
      </c>
      <c r="L56" s="69">
        <v>20</v>
      </c>
      <c r="M56" s="21">
        <f>L56*$C56</f>
        <v>40.876000000000005</v>
      </c>
      <c r="N56" s="69">
        <f>L56*$D56</f>
        <v>440</v>
      </c>
      <c r="O56" s="20">
        <v>24</v>
      </c>
      <c r="P56" s="21">
        <f>O56*C56</f>
        <v>49.051200000000001</v>
      </c>
      <c r="Q56" s="22">
        <f>O56*D56</f>
        <v>528</v>
      </c>
    </row>
    <row r="57" spans="1:17" ht="12" customHeight="1" x14ac:dyDescent="0.2">
      <c r="A57" s="358"/>
      <c r="B57" s="10" t="s">
        <v>45</v>
      </c>
      <c r="C57" s="16">
        <f>$B$23*D57</f>
        <v>16.2575</v>
      </c>
      <c r="D57" s="81">
        <v>175</v>
      </c>
      <c r="E57" s="80" t="s">
        <v>5</v>
      </c>
      <c r="F57" s="20">
        <v>1</v>
      </c>
      <c r="G57" s="21">
        <f>C57*F57</f>
        <v>16.2575</v>
      </c>
      <c r="H57" s="50">
        <f>F57*D57</f>
        <v>175</v>
      </c>
      <c r="I57" s="20">
        <v>1</v>
      </c>
      <c r="J57" s="21">
        <f>I57*C57</f>
        <v>16.2575</v>
      </c>
      <c r="K57" s="69">
        <f>I57*D57</f>
        <v>175</v>
      </c>
      <c r="L57" s="69">
        <v>1</v>
      </c>
      <c r="M57" s="21">
        <f>L57*$C57</f>
        <v>16.2575</v>
      </c>
      <c r="N57" s="69">
        <f>L57*$D57</f>
        <v>175</v>
      </c>
      <c r="O57" s="20">
        <v>1</v>
      </c>
      <c r="P57" s="21">
        <f>O57*C57</f>
        <v>16.2575</v>
      </c>
      <c r="Q57" s="22">
        <f>O57*D57</f>
        <v>175</v>
      </c>
    </row>
    <row r="58" spans="1:17" ht="12" customHeight="1" x14ac:dyDescent="0.2">
      <c r="A58" s="358"/>
      <c r="B58" s="10" t="s">
        <v>17</v>
      </c>
      <c r="C58" s="16">
        <f>$B$23*D58</f>
        <v>5.5739999999999998</v>
      </c>
      <c r="D58" s="81">
        <v>60</v>
      </c>
      <c r="E58" s="84" t="s">
        <v>23</v>
      </c>
      <c r="F58" s="20">
        <v>1</v>
      </c>
      <c r="G58" s="21">
        <f>C58*F58</f>
        <v>5.5739999999999998</v>
      </c>
      <c r="H58" s="50">
        <f>F58*D58</f>
        <v>60</v>
      </c>
      <c r="I58" s="20">
        <v>1</v>
      </c>
      <c r="J58" s="21">
        <f>I58*C58</f>
        <v>5.5739999999999998</v>
      </c>
      <c r="K58" s="69">
        <f>I58*D58</f>
        <v>60</v>
      </c>
      <c r="L58" s="69">
        <v>1</v>
      </c>
      <c r="M58" s="21">
        <f>L58*$C58</f>
        <v>5.5739999999999998</v>
      </c>
      <c r="N58" s="69">
        <f>L58*$D58</f>
        <v>60</v>
      </c>
      <c r="O58" s="20">
        <v>1</v>
      </c>
      <c r="P58" s="21">
        <f>O58*C58</f>
        <v>5.5739999999999998</v>
      </c>
      <c r="Q58" s="22">
        <f>O58*D58</f>
        <v>60</v>
      </c>
    </row>
    <row r="59" spans="1:17" ht="12" customHeight="1" x14ac:dyDescent="0.2">
      <c r="A59" s="358"/>
      <c r="B59" s="250" t="s">
        <v>46</v>
      </c>
      <c r="C59" s="16">
        <f>$B$23*D59</f>
        <v>5.5739999999999998</v>
      </c>
      <c r="D59" s="59">
        <v>60</v>
      </c>
      <c r="E59" s="12" t="s">
        <v>5</v>
      </c>
      <c r="F59" s="11">
        <v>1</v>
      </c>
      <c r="G59" s="21">
        <f>C59*F59</f>
        <v>5.5739999999999998</v>
      </c>
      <c r="H59" s="12">
        <f>F59*D59</f>
        <v>60</v>
      </c>
      <c r="I59" s="11">
        <v>1</v>
      </c>
      <c r="J59" s="17">
        <f>I59*C59</f>
        <v>5.5739999999999998</v>
      </c>
      <c r="K59" s="14">
        <f>I59*D59</f>
        <v>60</v>
      </c>
      <c r="L59" s="14">
        <v>1</v>
      </c>
      <c r="M59" s="21">
        <f>L59*$C59</f>
        <v>5.5739999999999998</v>
      </c>
      <c r="N59" s="69">
        <f>L59*$D59</f>
        <v>60</v>
      </c>
      <c r="O59" s="11">
        <v>1</v>
      </c>
      <c r="P59" s="17">
        <f>O59*C59</f>
        <v>5.5739999999999998</v>
      </c>
      <c r="Q59" s="12">
        <f>O59*D59</f>
        <v>60</v>
      </c>
    </row>
    <row r="60" spans="1:17" ht="12" customHeight="1" x14ac:dyDescent="0.2">
      <c r="A60" s="358"/>
      <c r="B60" s="10" t="s">
        <v>154</v>
      </c>
      <c r="C60" s="83">
        <f>$B$23*D60</f>
        <v>4.4592000000000001</v>
      </c>
      <c r="D60" s="67">
        <v>48</v>
      </c>
      <c r="E60" s="84" t="s">
        <v>5</v>
      </c>
      <c r="F60" s="20">
        <v>2</v>
      </c>
      <c r="G60" s="21">
        <f>C60*F60</f>
        <v>8.9184000000000001</v>
      </c>
      <c r="H60" s="50">
        <f>F60*D60</f>
        <v>96</v>
      </c>
      <c r="I60" s="20">
        <v>2</v>
      </c>
      <c r="J60" s="21">
        <f>I60*C60</f>
        <v>8.9184000000000001</v>
      </c>
      <c r="K60" s="69">
        <f>I60*D60</f>
        <v>96</v>
      </c>
      <c r="L60" s="69">
        <v>2</v>
      </c>
      <c r="M60" s="21">
        <f>L60*$C60</f>
        <v>8.9184000000000001</v>
      </c>
      <c r="N60" s="69">
        <f>L60*$D60</f>
        <v>96</v>
      </c>
      <c r="O60" s="20">
        <v>2</v>
      </c>
      <c r="P60" s="21">
        <f>O60*C60</f>
        <v>8.9184000000000001</v>
      </c>
      <c r="Q60" s="22">
        <f>O60*D60</f>
        <v>96</v>
      </c>
    </row>
    <row r="61" spans="1:17" s="4" customFormat="1" ht="12" customHeight="1" x14ac:dyDescent="0.2">
      <c r="A61" s="5"/>
      <c r="B61" s="26"/>
      <c r="C61" s="27"/>
      <c r="D61" s="62"/>
      <c r="E61" s="28" t="s">
        <v>28</v>
      </c>
      <c r="F61" s="51"/>
      <c r="G61" s="76">
        <f>SUM(G54:G60)</f>
        <v>84.631900000000002</v>
      </c>
      <c r="H61" s="76">
        <f>SUM(H54:H60)</f>
        <v>911</v>
      </c>
      <c r="I61" s="29"/>
      <c r="J61" s="76">
        <f>SUM(J54:J60)</f>
        <v>122.4422</v>
      </c>
      <c r="K61" s="76">
        <f>SUM(K54:K60)</f>
        <v>1318</v>
      </c>
      <c r="L61" s="29"/>
      <c r="M61" s="76">
        <f>SUM(M54:M60)</f>
        <v>149.19740000000002</v>
      </c>
      <c r="N61" s="76">
        <f>SUM(N54:N60)</f>
        <v>1606</v>
      </c>
      <c r="O61" s="29"/>
      <c r="P61" s="76">
        <f>SUM(P54:P60)</f>
        <v>173.6301</v>
      </c>
      <c r="Q61" s="76">
        <f>SUM(Q54:Q60)</f>
        <v>1869</v>
      </c>
    </row>
    <row r="62" spans="1:17" s="4" customFormat="1" ht="12" customHeight="1" x14ac:dyDescent="0.2">
      <c r="A62" s="5"/>
      <c r="B62" s="31"/>
      <c r="C62" s="32"/>
      <c r="D62" s="63"/>
      <c r="E62" s="8" t="s">
        <v>7</v>
      </c>
      <c r="F62" s="54">
        <v>0.22</v>
      </c>
      <c r="G62" s="43">
        <f>G61*F62</f>
        <v>18.619018000000001</v>
      </c>
      <c r="H62" s="30">
        <f>H61*F62</f>
        <v>200.42</v>
      </c>
      <c r="I62" s="54">
        <v>0.22</v>
      </c>
      <c r="J62" s="43">
        <f>J61*I62</f>
        <v>26.937284000000002</v>
      </c>
      <c r="K62" s="30">
        <f>K61*I62</f>
        <v>289.95999999999998</v>
      </c>
      <c r="L62" s="54">
        <v>0.22</v>
      </c>
      <c r="M62" s="43">
        <f>M61*L62</f>
        <v>32.823428000000007</v>
      </c>
      <c r="N62" s="30">
        <f>N61*L62</f>
        <v>353.32</v>
      </c>
      <c r="O62" s="54">
        <v>0.22</v>
      </c>
      <c r="P62" s="43">
        <f>P61*O62</f>
        <v>38.198622</v>
      </c>
      <c r="Q62" s="30">
        <f>Q61*O62</f>
        <v>411.18</v>
      </c>
    </row>
    <row r="63" spans="1:17" s="4" customFormat="1" ht="12" customHeight="1" x14ac:dyDescent="0.2">
      <c r="A63" s="5"/>
      <c r="B63" s="33"/>
      <c r="C63" s="34"/>
      <c r="D63" s="64"/>
      <c r="E63" s="6" t="s">
        <v>29</v>
      </c>
      <c r="F63" s="52"/>
      <c r="G63" s="44">
        <f>SUM(G61:G62)</f>
        <v>103.250918</v>
      </c>
      <c r="H63" s="30">
        <f>SUM(H61:H62)</f>
        <v>1111.42</v>
      </c>
      <c r="I63" s="29"/>
      <c r="J63" s="44">
        <f>SUM(J61:J62)</f>
        <v>149.37948399999999</v>
      </c>
      <c r="K63" s="30">
        <f>SUM(K61:K62)</f>
        <v>1607.96</v>
      </c>
      <c r="L63" s="29"/>
      <c r="M63" s="44">
        <f>SUM(M61:M62)</f>
        <v>182.02082800000002</v>
      </c>
      <c r="N63" s="30">
        <f>SUM(N61:N62)</f>
        <v>1959.32</v>
      </c>
      <c r="O63" s="29"/>
      <c r="P63" s="44">
        <f>SUM(P61:P62)</f>
        <v>211.828722</v>
      </c>
      <c r="Q63" s="30">
        <f>SUM(Q61:Q62)</f>
        <v>2280.1799999999998</v>
      </c>
    </row>
    <row r="64" spans="1:17" s="4" customFormat="1" ht="12" customHeight="1" x14ac:dyDescent="0.2">
      <c r="A64" s="358" t="s">
        <v>24</v>
      </c>
      <c r="B64" s="55" t="s">
        <v>8</v>
      </c>
      <c r="C64" s="16">
        <f>$B$23*D64</f>
        <v>41.805</v>
      </c>
      <c r="D64" s="59">
        <v>450</v>
      </c>
      <c r="E64" s="12" t="s">
        <v>9</v>
      </c>
      <c r="F64" s="11">
        <f>0.8*15</f>
        <v>12</v>
      </c>
      <c r="G64" s="45">
        <f>F64*C64</f>
        <v>501.65999999999997</v>
      </c>
      <c r="H64" s="12">
        <f>F64*D64</f>
        <v>5400</v>
      </c>
      <c r="I64" s="20">
        <v>16</v>
      </c>
      <c r="J64" s="45">
        <f>I64*C64</f>
        <v>668.88</v>
      </c>
      <c r="K64" s="14">
        <f>I64*D64</f>
        <v>7200</v>
      </c>
      <c r="L64" s="14">
        <v>20</v>
      </c>
      <c r="M64" s="21">
        <f>L64*$C64</f>
        <v>836.1</v>
      </c>
      <c r="N64" s="69">
        <f>L64*$D64</f>
        <v>9000</v>
      </c>
      <c r="O64" s="20">
        <v>26</v>
      </c>
      <c r="P64" s="45">
        <f>O64*C64</f>
        <v>1086.93</v>
      </c>
      <c r="Q64" s="14">
        <f>O64*D64</f>
        <v>11700</v>
      </c>
    </row>
    <row r="65" spans="1:20" s="4" customFormat="1" ht="12" customHeight="1" x14ac:dyDescent="0.2">
      <c r="A65" s="358"/>
      <c r="B65" s="55" t="s">
        <v>10</v>
      </c>
      <c r="C65" s="16">
        <f>$B$23*D65</f>
        <v>41.805</v>
      </c>
      <c r="D65" s="59">
        <v>450</v>
      </c>
      <c r="E65" s="12" t="s">
        <v>9</v>
      </c>
      <c r="F65" s="11">
        <v>8</v>
      </c>
      <c r="G65" s="45">
        <f>F65*C65</f>
        <v>334.44</v>
      </c>
      <c r="H65" s="12">
        <f>F65*D65</f>
        <v>3600</v>
      </c>
      <c r="I65" s="20">
        <v>14</v>
      </c>
      <c r="J65" s="45">
        <f>I65*C65</f>
        <v>585.27</v>
      </c>
      <c r="K65" s="14">
        <f>I65*D65</f>
        <v>6300</v>
      </c>
      <c r="L65" s="14">
        <v>20</v>
      </c>
      <c r="M65" s="21">
        <f>L65*$C65</f>
        <v>836.1</v>
      </c>
      <c r="N65" s="69">
        <f>L65*$D65</f>
        <v>9000</v>
      </c>
      <c r="O65" s="20">
        <v>26</v>
      </c>
      <c r="P65" s="45">
        <f>O65*C65</f>
        <v>1086.93</v>
      </c>
      <c r="Q65" s="14">
        <f>O65*D65</f>
        <v>11700</v>
      </c>
    </row>
    <row r="66" spans="1:20" s="4" customFormat="1" ht="12" customHeight="1" x14ac:dyDescent="0.2">
      <c r="A66" s="358"/>
      <c r="B66" s="55" t="s">
        <v>94</v>
      </c>
      <c r="C66" s="16">
        <f>$B$23*D66</f>
        <v>74.319999999999993</v>
      </c>
      <c r="D66" s="59">
        <v>800</v>
      </c>
      <c r="E66" s="12" t="s">
        <v>67</v>
      </c>
      <c r="F66" s="11">
        <v>1</v>
      </c>
      <c r="G66" s="45">
        <f>F66*C66</f>
        <v>74.319999999999993</v>
      </c>
      <c r="H66" s="12">
        <f>F66*D66</f>
        <v>800</v>
      </c>
      <c r="I66" s="20">
        <v>1</v>
      </c>
      <c r="J66" s="45">
        <f>I66*C66</f>
        <v>74.319999999999993</v>
      </c>
      <c r="K66" s="14">
        <f>I66*D66</f>
        <v>800</v>
      </c>
      <c r="L66" s="14">
        <v>1</v>
      </c>
      <c r="M66" s="21">
        <f>L66*$C66</f>
        <v>74.319999999999993</v>
      </c>
      <c r="N66" s="69">
        <f>L66*$D66</f>
        <v>800</v>
      </c>
      <c r="O66" s="20">
        <v>1</v>
      </c>
      <c r="P66" s="45">
        <f>O66*C66</f>
        <v>74.319999999999993</v>
      </c>
      <c r="Q66" s="14">
        <f>O66*D66</f>
        <v>800</v>
      </c>
    </row>
    <row r="67" spans="1:20" s="4" customFormat="1" ht="12" customHeight="1" x14ac:dyDescent="0.2">
      <c r="A67" s="358"/>
      <c r="B67" s="55" t="s">
        <v>47</v>
      </c>
      <c r="C67" s="16">
        <f>$B$23*D67</f>
        <v>69.674999999999997</v>
      </c>
      <c r="D67" s="59">
        <v>750</v>
      </c>
      <c r="E67" s="12" t="s">
        <v>67</v>
      </c>
      <c r="F67" s="11">
        <v>1</v>
      </c>
      <c r="G67" s="45">
        <f>F67*C67</f>
        <v>69.674999999999997</v>
      </c>
      <c r="H67" s="12">
        <f>F67*D67</f>
        <v>750</v>
      </c>
      <c r="I67" s="11">
        <v>1</v>
      </c>
      <c r="J67" s="45">
        <f>I67*C67</f>
        <v>69.674999999999997</v>
      </c>
      <c r="K67" s="14">
        <f>I67*D67</f>
        <v>750</v>
      </c>
      <c r="L67" s="14">
        <v>2</v>
      </c>
      <c r="M67" s="21">
        <f>L67*$C67</f>
        <v>139.35</v>
      </c>
      <c r="N67" s="69">
        <f>L67*$D67</f>
        <v>1500</v>
      </c>
      <c r="O67" s="11">
        <v>2</v>
      </c>
      <c r="P67" s="45">
        <f>O67*C67</f>
        <v>139.35</v>
      </c>
      <c r="Q67" s="14">
        <f>O67*D67</f>
        <v>1500</v>
      </c>
    </row>
    <row r="68" spans="1:20" s="4" customFormat="1" ht="12" customHeight="1" x14ac:dyDescent="0.2">
      <c r="A68" s="358"/>
      <c r="B68" s="35" t="s">
        <v>14</v>
      </c>
      <c r="C68" s="74">
        <f>$B$23*D68</f>
        <v>14.863999999999999</v>
      </c>
      <c r="D68" s="75">
        <v>160</v>
      </c>
      <c r="E68" s="24" t="s">
        <v>15</v>
      </c>
      <c r="F68" s="11">
        <v>1</v>
      </c>
      <c r="G68" s="45">
        <f>F68*C68</f>
        <v>14.863999999999999</v>
      </c>
      <c r="H68" s="14">
        <f>F68*D68</f>
        <v>160</v>
      </c>
      <c r="I68" s="11">
        <v>1</v>
      </c>
      <c r="J68" s="45">
        <f>I68*C68</f>
        <v>14.863999999999999</v>
      </c>
      <c r="K68" s="14">
        <f>I68*D68</f>
        <v>160</v>
      </c>
      <c r="L68" s="14">
        <v>2</v>
      </c>
      <c r="M68" s="21">
        <f>L68*$C68</f>
        <v>29.727999999999998</v>
      </c>
      <c r="N68" s="69">
        <f>L68*$D68</f>
        <v>320</v>
      </c>
      <c r="O68" s="11">
        <v>2</v>
      </c>
      <c r="P68" s="45">
        <f>O68*C68</f>
        <v>29.727999999999998</v>
      </c>
      <c r="Q68" s="14">
        <f>O68*D68</f>
        <v>320</v>
      </c>
    </row>
    <row r="69" spans="1:20" s="4" customFormat="1" ht="12" customHeight="1" x14ac:dyDescent="0.2">
      <c r="A69" s="5"/>
      <c r="B69" s="31"/>
      <c r="C69" s="36"/>
      <c r="D69" s="63"/>
      <c r="E69" s="8" t="s">
        <v>11</v>
      </c>
      <c r="F69" s="53"/>
      <c r="G69" s="43">
        <f>SUM(G64:G68)</f>
        <v>994.95899999999983</v>
      </c>
      <c r="H69" s="30">
        <f>SUM(H64:H68)</f>
        <v>10710</v>
      </c>
      <c r="I69" s="29"/>
      <c r="J69" s="43">
        <f>SUM(J64:J68)</f>
        <v>1413.009</v>
      </c>
      <c r="K69" s="30">
        <f>SUM(K64:K68)</f>
        <v>15210</v>
      </c>
      <c r="L69" s="29"/>
      <c r="M69" s="43">
        <f>SUM(M64:M68)</f>
        <v>1915.598</v>
      </c>
      <c r="N69" s="30">
        <f>SUM(N64:N68)</f>
        <v>20620</v>
      </c>
      <c r="O69" s="29"/>
      <c r="P69" s="43">
        <f>SUM(P64:P68)</f>
        <v>2417.2580000000003</v>
      </c>
      <c r="Q69" s="30">
        <f>SUM(Q64:Q68)</f>
        <v>26020</v>
      </c>
    </row>
    <row r="70" spans="1:20" ht="19.899999999999999" customHeight="1" x14ac:dyDescent="0.2">
      <c r="A70" s="349" t="s">
        <v>58</v>
      </c>
      <c r="B70" s="350"/>
      <c r="C70" s="350"/>
      <c r="D70" s="350"/>
      <c r="E70" s="350"/>
      <c r="F70" s="350"/>
      <c r="G70" s="350"/>
      <c r="H70" s="350"/>
      <c r="I70" s="350"/>
      <c r="J70" s="350"/>
      <c r="K70" s="350"/>
      <c r="L70" s="350"/>
      <c r="M70" s="350"/>
      <c r="N70" s="350"/>
      <c r="O70" s="350"/>
      <c r="P70" s="350"/>
      <c r="Q70" s="351"/>
    </row>
    <row r="71" spans="1:20" ht="15" customHeight="1" x14ac:dyDescent="0.2">
      <c r="A71" s="2"/>
      <c r="B71" s="7">
        <v>9.2899999999999996E-2</v>
      </c>
      <c r="C71" s="346" t="s">
        <v>0</v>
      </c>
      <c r="D71" s="347"/>
      <c r="E71" s="348"/>
      <c r="F71" s="340" t="s">
        <v>88</v>
      </c>
      <c r="G71" s="341"/>
      <c r="H71" s="342"/>
      <c r="I71" s="340" t="s">
        <v>89</v>
      </c>
      <c r="J71" s="341"/>
      <c r="K71" s="342"/>
      <c r="L71" s="340" t="s">
        <v>90</v>
      </c>
      <c r="M71" s="341"/>
      <c r="N71" s="342"/>
      <c r="O71" s="345" t="s">
        <v>91</v>
      </c>
      <c r="P71" s="343"/>
      <c r="Q71" s="344"/>
      <c r="R71" s="366" t="s">
        <v>125</v>
      </c>
      <c r="S71" s="367"/>
      <c r="T71" s="368"/>
    </row>
    <row r="72" spans="1:20" ht="15" customHeight="1" thickBot="1" x14ac:dyDescent="0.25">
      <c r="A72" s="38" t="s">
        <v>1</v>
      </c>
      <c r="B72" s="39"/>
      <c r="C72" s="40" t="s">
        <v>12</v>
      </c>
      <c r="D72" s="58" t="s">
        <v>13</v>
      </c>
      <c r="E72" s="41" t="s">
        <v>2</v>
      </c>
      <c r="F72" s="41" t="s">
        <v>3</v>
      </c>
      <c r="G72" s="41" t="s">
        <v>12</v>
      </c>
      <c r="H72" s="41" t="s">
        <v>13</v>
      </c>
      <c r="I72" s="41" t="s">
        <v>3</v>
      </c>
      <c r="J72" s="40" t="s">
        <v>12</v>
      </c>
      <c r="K72" s="68" t="s">
        <v>13</v>
      </c>
      <c r="L72" s="41" t="s">
        <v>3</v>
      </c>
      <c r="M72" s="40" t="s">
        <v>12</v>
      </c>
      <c r="N72" s="40" t="s">
        <v>13</v>
      </c>
      <c r="O72" s="239" t="s">
        <v>3</v>
      </c>
      <c r="P72" s="240" t="s">
        <v>12</v>
      </c>
      <c r="Q72" s="240" t="s">
        <v>13</v>
      </c>
      <c r="R72" s="239" t="s">
        <v>3</v>
      </c>
      <c r="S72" s="240" t="s">
        <v>12</v>
      </c>
      <c r="T72" s="240" t="s">
        <v>13</v>
      </c>
    </row>
    <row r="73" spans="1:20" ht="12" customHeight="1" x14ac:dyDescent="0.2">
      <c r="A73" s="358" t="s">
        <v>27</v>
      </c>
      <c r="B73" s="254" t="s">
        <v>156</v>
      </c>
      <c r="C73" s="151"/>
      <c r="D73" s="152"/>
      <c r="E73" s="153"/>
      <c r="F73" s="139"/>
      <c r="G73" s="101">
        <f>$B$23*H73</f>
        <v>355.62119999999999</v>
      </c>
      <c r="H73" s="100">
        <v>3828</v>
      </c>
      <c r="I73" s="139"/>
      <c r="J73" s="101">
        <f>$B$23*K73</f>
        <v>416.93520000000001</v>
      </c>
      <c r="K73" s="102">
        <v>4488</v>
      </c>
      <c r="L73" s="140"/>
      <c r="M73" s="101">
        <f>$B$23*N73</f>
        <v>706.04</v>
      </c>
      <c r="N73" s="102">
        <v>7600</v>
      </c>
      <c r="O73" s="139"/>
      <c r="P73" s="101">
        <f>$B$23*Q73</f>
        <v>776.64400000000001</v>
      </c>
      <c r="Q73" s="263">
        <v>8360</v>
      </c>
      <c r="R73" s="139"/>
      <c r="S73" s="101">
        <f>$B$23*T73</f>
        <v>232.25</v>
      </c>
      <c r="T73" s="263">
        <v>2500</v>
      </c>
    </row>
    <row r="74" spans="1:20" ht="12" customHeight="1" x14ac:dyDescent="0.2">
      <c r="A74" s="358"/>
      <c r="B74" s="160" t="s">
        <v>20</v>
      </c>
      <c r="C74" s="23">
        <f>$B$23*D74</f>
        <v>14.863999999999999</v>
      </c>
      <c r="D74" s="65">
        <v>160</v>
      </c>
      <c r="E74" s="24" t="s">
        <v>23</v>
      </c>
      <c r="F74" s="161">
        <v>1</v>
      </c>
      <c r="G74" s="162">
        <f>C74*F74</f>
        <v>14.863999999999999</v>
      </c>
      <c r="H74" s="24">
        <f>F74*D74</f>
        <v>160</v>
      </c>
      <c r="I74" s="163">
        <v>1</v>
      </c>
      <c r="J74" s="162">
        <f>I74*$C$74</f>
        <v>14.863999999999999</v>
      </c>
      <c r="K74" s="164">
        <f>I74*$D$74</f>
        <v>160</v>
      </c>
      <c r="L74" s="164">
        <v>2</v>
      </c>
      <c r="M74" s="162">
        <f>L74*$C$74</f>
        <v>29.727999999999998</v>
      </c>
      <c r="N74" s="164">
        <f>L74*$D$74</f>
        <v>320</v>
      </c>
      <c r="O74" s="163">
        <v>2</v>
      </c>
      <c r="P74" s="162">
        <f>O74*C74</f>
        <v>29.727999999999998</v>
      </c>
      <c r="Q74" s="264">
        <f>O74*D74</f>
        <v>320</v>
      </c>
      <c r="R74" s="259"/>
      <c r="S74" s="21">
        <f>$B$23*T74</f>
        <v>9.2899999999999991</v>
      </c>
      <c r="T74" s="264">
        <v>100</v>
      </c>
    </row>
    <row r="75" spans="1:20" ht="12" customHeight="1" x14ac:dyDescent="0.2">
      <c r="A75" s="358"/>
      <c r="B75" s="154"/>
      <c r="C75" s="155"/>
      <c r="D75" s="156"/>
      <c r="E75" s="6" t="s">
        <v>7</v>
      </c>
      <c r="F75" s="157">
        <v>0.08</v>
      </c>
      <c r="G75" s="158">
        <f>(SUM(G73:G74)*$F$75)</f>
        <v>29.638815999999998</v>
      </c>
      <c r="H75" s="158">
        <f>(SUM(H73:H74)*$F$75)</f>
        <v>319.04000000000002</v>
      </c>
      <c r="I75" s="159"/>
      <c r="J75" s="158">
        <f>(SUM(J73:J74)*$F$75)</f>
        <v>34.543936000000002</v>
      </c>
      <c r="K75" s="158">
        <f>(SUM(K73:K74)*$F$75)</f>
        <v>371.84000000000003</v>
      </c>
      <c r="L75" s="165"/>
      <c r="M75" s="158">
        <f>(SUM(M73:M74)*$F$75)</f>
        <v>58.861439999999995</v>
      </c>
      <c r="N75" s="158">
        <f>(SUM(N73:N74)*$F$75)</f>
        <v>633.6</v>
      </c>
      <c r="O75" s="159"/>
      <c r="P75" s="241">
        <f>(SUM(P73:P74)*$F$75)</f>
        <v>64.50976</v>
      </c>
      <c r="Q75" s="241">
        <f>(SUM(Q73:Q74)*$F$75)</f>
        <v>694.4</v>
      </c>
      <c r="R75" s="159"/>
      <c r="S75" s="241">
        <f>(SUM(S73:S74)*$F$75)</f>
        <v>19.3232</v>
      </c>
      <c r="T75" s="241">
        <f>(SUM(T73:T74)*$F$75)</f>
        <v>208</v>
      </c>
    </row>
    <row r="76" spans="1:20" ht="12" customHeight="1" x14ac:dyDescent="0.2">
      <c r="A76" s="358"/>
      <c r="B76" s="113" t="s">
        <v>131</v>
      </c>
      <c r="C76" s="104"/>
      <c r="D76" s="105"/>
      <c r="E76" s="106"/>
      <c r="F76" s="29"/>
      <c r="G76" s="107">
        <f>SUM(G73:G75)</f>
        <v>400.12401599999998</v>
      </c>
      <c r="H76" s="107">
        <f>SUM(H73:H75)</f>
        <v>4307.04</v>
      </c>
      <c r="I76" s="29"/>
      <c r="J76" s="107">
        <f>SUM(J73:J75)</f>
        <v>466.34313599999996</v>
      </c>
      <c r="K76" s="107">
        <f>SUM(K73:K75)</f>
        <v>5019.84</v>
      </c>
      <c r="L76" s="112"/>
      <c r="M76" s="107">
        <f>SUM(M73:M75)</f>
        <v>794.62943999999993</v>
      </c>
      <c r="N76" s="107">
        <f>SUM(N73:N75)</f>
        <v>8553.6</v>
      </c>
      <c r="O76" s="29"/>
      <c r="P76" s="107">
        <f>SUM(P73:P75)</f>
        <v>870.88175999999999</v>
      </c>
      <c r="Q76" s="107">
        <f>SUM(Q73:Q75)</f>
        <v>9374.4</v>
      </c>
      <c r="R76" s="29"/>
      <c r="S76" s="107">
        <f>SUM(S73:S75)</f>
        <v>260.86320000000001</v>
      </c>
      <c r="T76" s="107">
        <f>SUM(T73:T75)</f>
        <v>2808</v>
      </c>
    </row>
    <row r="77" spans="1:20" ht="15" customHeight="1" x14ac:dyDescent="0.2">
      <c r="A77" s="358"/>
      <c r="B77" s="293"/>
      <c r="C77" s="337" t="s">
        <v>0</v>
      </c>
      <c r="D77" s="338"/>
      <c r="E77" s="339"/>
      <c r="F77" s="340" t="s">
        <v>128</v>
      </c>
      <c r="G77" s="343"/>
      <c r="H77" s="344"/>
      <c r="I77" s="345" t="s">
        <v>160</v>
      </c>
      <c r="J77" s="343"/>
      <c r="K77" s="344"/>
      <c r="L77" s="337"/>
      <c r="M77" s="338"/>
      <c r="N77" s="339"/>
      <c r="O77" s="355"/>
      <c r="P77" s="356"/>
      <c r="Q77" s="357"/>
      <c r="R77" s="294"/>
      <c r="S77" s="280"/>
      <c r="T77" s="280"/>
    </row>
    <row r="78" spans="1:20" ht="12" customHeight="1" x14ac:dyDescent="0.2">
      <c r="A78" s="358"/>
      <c r="B78" s="288" t="s">
        <v>157</v>
      </c>
      <c r="C78" s="284"/>
      <c r="D78" s="285"/>
      <c r="E78" s="116"/>
      <c r="F78" s="114"/>
      <c r="G78" s="286">
        <f>$B$23*H78</f>
        <v>11.148</v>
      </c>
      <c r="H78" s="271">
        <v>120</v>
      </c>
      <c r="I78" s="114"/>
      <c r="J78" s="286">
        <f>$B$23*K78</f>
        <v>41.805</v>
      </c>
      <c r="K78" s="283">
        <v>450</v>
      </c>
      <c r="L78" s="117"/>
      <c r="M78" s="117"/>
      <c r="N78" s="117"/>
      <c r="O78" s="114">
        <v>1</v>
      </c>
      <c r="P78" s="115">
        <f>O78*C78</f>
        <v>0</v>
      </c>
      <c r="Q78" s="118">
        <f>O78*D78</f>
        <v>0</v>
      </c>
    </row>
    <row r="79" spans="1:20" ht="12" customHeight="1" x14ac:dyDescent="0.2">
      <c r="A79" s="358"/>
      <c r="B79" s="289" t="s">
        <v>130</v>
      </c>
      <c r="C79" s="290"/>
      <c r="D79" s="291"/>
      <c r="E79" s="292"/>
      <c r="F79" s="259"/>
      <c r="G79" s="162">
        <f>$B$23*H79</f>
        <v>7.4319999999999995</v>
      </c>
      <c r="H79" s="279">
        <v>80</v>
      </c>
      <c r="I79" s="259"/>
      <c r="J79" s="162">
        <f>$B$23*K79</f>
        <v>16.721999999999998</v>
      </c>
      <c r="K79" s="287">
        <v>180</v>
      </c>
      <c r="L79" s="111"/>
      <c r="M79" s="111"/>
      <c r="N79" s="111"/>
      <c r="O79" s="108">
        <v>1</v>
      </c>
      <c r="P79" s="109">
        <f>O79*C79</f>
        <v>0</v>
      </c>
      <c r="Q79" s="110">
        <f>O79*D79</f>
        <v>0</v>
      </c>
    </row>
    <row r="80" spans="1:20" ht="12" customHeight="1" x14ac:dyDescent="0.2">
      <c r="A80" s="358"/>
      <c r="B80" s="154"/>
      <c r="C80" s="155"/>
      <c r="D80" s="156"/>
      <c r="E80" s="6" t="s">
        <v>7</v>
      </c>
      <c r="F80" s="157">
        <v>0.2</v>
      </c>
      <c r="G80" s="158">
        <f>(SUM(G78:G79)*$F$80)</f>
        <v>3.7159999999999997</v>
      </c>
      <c r="H80" s="158">
        <f>(SUM(H78:H79)*$F$80)</f>
        <v>40</v>
      </c>
      <c r="I80" s="29"/>
      <c r="J80" s="158">
        <f>(SUM(J78:J79)*$F$80)</f>
        <v>11.705400000000001</v>
      </c>
      <c r="K80" s="158">
        <f>(SUM(K78:K79)*$F$80)</f>
        <v>126</v>
      </c>
      <c r="L80" s="112"/>
      <c r="M80" s="112"/>
      <c r="N80" s="112"/>
      <c r="O80" s="29"/>
      <c r="P80" s="112">
        <f>SUM(P78:P79)</f>
        <v>0</v>
      </c>
      <c r="Q80" s="112">
        <f>SUM(Q78:Q79)</f>
        <v>0</v>
      </c>
    </row>
    <row r="81" spans="1:20" ht="12" customHeight="1" x14ac:dyDescent="0.2">
      <c r="A81" s="358"/>
      <c r="B81" s="113" t="s">
        <v>129</v>
      </c>
      <c r="C81" s="104"/>
      <c r="D81" s="105"/>
      <c r="E81" s="106"/>
      <c r="F81" s="29"/>
      <c r="G81" s="107">
        <f>SUM(G78:G80)</f>
        <v>22.295999999999999</v>
      </c>
      <c r="H81" s="107">
        <f>SUM(H78:H80)</f>
        <v>240</v>
      </c>
      <c r="I81" s="29"/>
      <c r="J81" s="107">
        <f>SUM(J78:J80)</f>
        <v>70.232399999999998</v>
      </c>
      <c r="K81" s="107">
        <f>SUM(K78:K80)</f>
        <v>756</v>
      </c>
      <c r="L81" s="282"/>
      <c r="M81" s="282"/>
      <c r="N81" s="282"/>
      <c r="O81" s="281"/>
      <c r="P81" s="282"/>
      <c r="Q81" s="282"/>
    </row>
    <row r="82" spans="1:20" ht="15" customHeight="1" x14ac:dyDescent="0.2">
      <c r="A82" s="358"/>
      <c r="B82" s="293"/>
      <c r="C82" s="337" t="s">
        <v>0</v>
      </c>
      <c r="D82" s="338"/>
      <c r="E82" s="339"/>
      <c r="F82" s="340" t="s">
        <v>132</v>
      </c>
      <c r="G82" s="341"/>
      <c r="H82" s="342"/>
      <c r="I82" s="340" t="s">
        <v>132</v>
      </c>
      <c r="J82" s="341"/>
      <c r="K82" s="342"/>
      <c r="L82" s="340" t="s">
        <v>132</v>
      </c>
      <c r="M82" s="341"/>
      <c r="N82" s="342"/>
      <c r="O82" s="340" t="s">
        <v>132</v>
      </c>
      <c r="P82" s="341"/>
      <c r="Q82" s="342"/>
    </row>
    <row r="83" spans="1:20" ht="12" customHeight="1" x14ac:dyDescent="0.2">
      <c r="A83" s="358"/>
      <c r="B83" s="265" t="s">
        <v>155</v>
      </c>
      <c r="C83" s="266">
        <f>$B$23*D83</f>
        <v>10.218999999999999</v>
      </c>
      <c r="D83" s="267">
        <v>110</v>
      </c>
      <c r="E83" s="268" t="s">
        <v>5</v>
      </c>
      <c r="F83" s="149">
        <v>1</v>
      </c>
      <c r="G83" s="269">
        <f>C83*F83</f>
        <v>10.218999999999999</v>
      </c>
      <c r="H83" s="268">
        <v>70</v>
      </c>
      <c r="I83" s="149">
        <v>1</v>
      </c>
      <c r="J83" s="269">
        <f>I83*C83</f>
        <v>10.218999999999999</v>
      </c>
      <c r="K83" s="143">
        <v>70</v>
      </c>
      <c r="L83" s="143">
        <v>2</v>
      </c>
      <c r="M83" s="269">
        <f>L83*$C83</f>
        <v>20.437999999999999</v>
      </c>
      <c r="N83" s="143">
        <v>130</v>
      </c>
      <c r="O83" s="149">
        <v>2</v>
      </c>
      <c r="P83" s="269">
        <f>O83*C83</f>
        <v>20.437999999999999</v>
      </c>
      <c r="Q83" s="268">
        <v>130</v>
      </c>
      <c r="R83" s="123" t="s">
        <v>69</v>
      </c>
      <c r="S83" s="124"/>
      <c r="T83" s="124"/>
    </row>
    <row r="84" spans="1:20" ht="12" customHeight="1" x14ac:dyDescent="0.2">
      <c r="A84" s="358"/>
      <c r="B84" s="72" t="s">
        <v>158</v>
      </c>
      <c r="C84" s="83">
        <f>$B$23*D84</f>
        <v>1.6721999999999999</v>
      </c>
      <c r="D84" s="81">
        <f>15*1.2</f>
        <v>18</v>
      </c>
      <c r="E84" s="50" t="s">
        <v>6</v>
      </c>
      <c r="F84" s="49">
        <v>10</v>
      </c>
      <c r="G84" s="21">
        <f>C84*F84</f>
        <v>16.721999999999998</v>
      </c>
      <c r="H84" s="50">
        <f>F84*D84</f>
        <v>180</v>
      </c>
      <c r="I84" s="49">
        <v>10</v>
      </c>
      <c r="J84" s="21">
        <f>I84*C84</f>
        <v>16.721999999999998</v>
      </c>
      <c r="K84" s="69">
        <f>I84*D84</f>
        <v>180</v>
      </c>
      <c r="L84" s="69">
        <v>15</v>
      </c>
      <c r="M84" s="21">
        <f>L84*$C84</f>
        <v>25.082999999999998</v>
      </c>
      <c r="N84" s="69">
        <f>L84*$D84</f>
        <v>270</v>
      </c>
      <c r="O84" s="49">
        <v>15</v>
      </c>
      <c r="P84" s="21">
        <f>O84*$C84</f>
        <v>25.082999999999998</v>
      </c>
      <c r="Q84" s="69">
        <f>O84*$D84</f>
        <v>270</v>
      </c>
    </row>
    <row r="85" spans="1:20" ht="12" customHeight="1" x14ac:dyDescent="0.2">
      <c r="A85" s="365"/>
      <c r="B85" s="103" t="s">
        <v>159</v>
      </c>
      <c r="C85" s="74">
        <f>$B$23*D85</f>
        <v>6.6887999999999996</v>
      </c>
      <c r="D85" s="75">
        <f>60*1.2</f>
        <v>72</v>
      </c>
      <c r="E85" s="119" t="s">
        <v>5</v>
      </c>
      <c r="F85" s="163">
        <v>1</v>
      </c>
      <c r="G85" s="162">
        <f>C85*F85</f>
        <v>6.6887999999999996</v>
      </c>
      <c r="H85" s="119">
        <f>F85*D85</f>
        <v>72</v>
      </c>
      <c r="I85" s="163">
        <v>2</v>
      </c>
      <c r="J85" s="162">
        <f>I85*C85</f>
        <v>13.377599999999999</v>
      </c>
      <c r="K85" s="164">
        <f>I85*D85</f>
        <v>144</v>
      </c>
      <c r="L85" s="164">
        <v>3</v>
      </c>
      <c r="M85" s="162">
        <f>L85*$C85</f>
        <v>20.066399999999998</v>
      </c>
      <c r="N85" s="164">
        <f>L85*$D85</f>
        <v>216</v>
      </c>
      <c r="O85" s="259"/>
      <c r="P85" s="260"/>
      <c r="Q85" s="261"/>
    </row>
    <row r="86" spans="1:20" ht="12" customHeight="1" x14ac:dyDescent="0.2">
      <c r="A86" s="362" t="s">
        <v>24</v>
      </c>
      <c r="B86" s="56" t="s">
        <v>123</v>
      </c>
      <c r="C86" s="266">
        <f>$B$23*D86</f>
        <v>11.612499999999999</v>
      </c>
      <c r="D86" s="270">
        <v>125</v>
      </c>
      <c r="E86" s="271" t="s">
        <v>30</v>
      </c>
      <c r="F86" s="272">
        <v>30</v>
      </c>
      <c r="G86" s="273">
        <f>F86*C86</f>
        <v>348.37499999999994</v>
      </c>
      <c r="H86" s="271">
        <f>F86*D86</f>
        <v>3750</v>
      </c>
      <c r="I86" s="114"/>
      <c r="J86" s="115">
        <f>I86*C86</f>
        <v>0</v>
      </c>
      <c r="K86" s="117">
        <f>I86*D86</f>
        <v>0</v>
      </c>
      <c r="L86" s="117"/>
      <c r="M86" s="115">
        <f>L86*C86</f>
        <v>0</v>
      </c>
      <c r="N86" s="117">
        <f>L86*D86</f>
        <v>0</v>
      </c>
      <c r="O86" s="114"/>
      <c r="P86" s="115">
        <f>O86*C86</f>
        <v>0</v>
      </c>
      <c r="Q86" s="118">
        <f>O86*D86</f>
        <v>0</v>
      </c>
    </row>
    <row r="87" spans="1:20" ht="12" customHeight="1" x14ac:dyDescent="0.2">
      <c r="A87" s="363"/>
      <c r="B87" s="245" t="s">
        <v>17</v>
      </c>
      <c r="C87" s="274">
        <f>$B$23*D87</f>
        <v>7.4319999999999995</v>
      </c>
      <c r="D87" s="275">
        <v>80</v>
      </c>
      <c r="E87" s="276" t="s">
        <v>23</v>
      </c>
      <c r="F87" s="277">
        <v>1</v>
      </c>
      <c r="G87" s="278">
        <f>F87*C87</f>
        <v>7.4319999999999995</v>
      </c>
      <c r="H87" s="279">
        <f>F87*D87</f>
        <v>80</v>
      </c>
      <c r="I87" s="259"/>
      <c r="J87" s="260">
        <f>I87*C87</f>
        <v>0</v>
      </c>
      <c r="K87" s="262">
        <f>I87*D87</f>
        <v>0</v>
      </c>
      <c r="L87" s="262"/>
      <c r="M87" s="260">
        <f>L87*C87</f>
        <v>0</v>
      </c>
      <c r="N87" s="262">
        <f>L87*D87</f>
        <v>0</v>
      </c>
      <c r="O87" s="259"/>
      <c r="P87" s="260">
        <f>O87*C87</f>
        <v>0</v>
      </c>
      <c r="Q87" s="261">
        <f>O87*D87</f>
        <v>0</v>
      </c>
    </row>
    <row r="88" spans="1:20" ht="12" customHeight="1" x14ac:dyDescent="0.2">
      <c r="A88" s="363"/>
      <c r="B88" s="113" t="s">
        <v>122</v>
      </c>
      <c r="C88" s="104"/>
      <c r="D88" s="105"/>
      <c r="E88" s="106"/>
      <c r="F88" s="29"/>
      <c r="G88" s="107">
        <f>SUM(G86:G87)</f>
        <v>355.80699999999996</v>
      </c>
      <c r="H88" s="107">
        <f>SUM(H86:H87)</f>
        <v>3830</v>
      </c>
      <c r="I88" s="29"/>
      <c r="J88" s="112">
        <f>SUM(J86:J87)</f>
        <v>0</v>
      </c>
      <c r="K88" s="112">
        <f>SUM(K86:K87)</f>
        <v>0</v>
      </c>
      <c r="L88" s="112"/>
      <c r="M88" s="112">
        <f>SUM(M86:M87)</f>
        <v>0</v>
      </c>
      <c r="N88" s="112">
        <f>SUM(N86:N87)</f>
        <v>0</v>
      </c>
      <c r="O88" s="29"/>
      <c r="P88" s="112">
        <f>SUM(P86:P87)</f>
        <v>0</v>
      </c>
      <c r="Q88" s="112">
        <f>SUM(Q86:Q87)</f>
        <v>0</v>
      </c>
    </row>
    <row r="89" spans="1:20" s="9" customFormat="1" ht="12" customHeight="1" x14ac:dyDescent="0.2">
      <c r="A89" s="364"/>
      <c r="B89" s="103" t="s">
        <v>92</v>
      </c>
      <c r="C89" s="75">
        <f>$B$23*D89</f>
        <v>10729.949999999999</v>
      </c>
      <c r="D89" s="75">
        <v>115500</v>
      </c>
      <c r="E89" s="119" t="s">
        <v>67</v>
      </c>
      <c r="F89" s="163">
        <v>1</v>
      </c>
      <c r="G89" s="162">
        <f>C89*F89</f>
        <v>10729.949999999999</v>
      </c>
      <c r="H89" s="119">
        <f>F89*D89</f>
        <v>115500</v>
      </c>
      <c r="I89" s="259"/>
      <c r="J89" s="260"/>
      <c r="K89" s="262"/>
      <c r="L89" s="262"/>
      <c r="M89" s="260"/>
      <c r="N89" s="262"/>
      <c r="O89" s="259"/>
      <c r="P89" s="260"/>
      <c r="Q89" s="261"/>
      <c r="R89" s="123" t="s">
        <v>124</v>
      </c>
    </row>
    <row r="90" spans="1:20" s="9" customFormat="1" ht="12" customHeight="1" x14ac:dyDescent="0.2">
      <c r="B90" s="90"/>
      <c r="C90" s="91"/>
      <c r="D90" s="92"/>
      <c r="E90" s="37"/>
      <c r="F90" s="37"/>
      <c r="G90" s="93"/>
      <c r="H90" s="94"/>
      <c r="I90" s="91"/>
      <c r="J90" s="93"/>
      <c r="K90" s="94"/>
      <c r="L90" s="94"/>
      <c r="M90" s="94"/>
      <c r="N90" s="94"/>
      <c r="O90" s="91"/>
      <c r="P90" s="93"/>
      <c r="Q90" s="94"/>
    </row>
    <row r="91" spans="1:20" s="9" customFormat="1" ht="12" customHeight="1" x14ac:dyDescent="0.2">
      <c r="B91" s="90"/>
      <c r="C91" s="91"/>
      <c r="D91" s="92"/>
      <c r="E91" s="37"/>
      <c r="F91" s="37"/>
      <c r="G91" s="93"/>
      <c r="H91" s="94"/>
      <c r="I91" s="91"/>
      <c r="J91" s="93"/>
      <c r="K91" s="94"/>
      <c r="L91" s="94"/>
      <c r="M91" s="94"/>
      <c r="N91" s="94"/>
      <c r="O91" s="91"/>
      <c r="P91" s="93"/>
      <c r="Q91" s="94"/>
    </row>
    <row r="92" spans="1:20" s="9" customFormat="1" ht="12" customHeight="1" x14ac:dyDescent="0.2">
      <c r="B92" s="90"/>
      <c r="C92" s="91"/>
      <c r="D92" s="92"/>
      <c r="E92" s="37"/>
      <c r="F92" s="37"/>
      <c r="G92" s="93"/>
      <c r="H92" s="94"/>
      <c r="I92" s="91"/>
      <c r="J92" s="93"/>
      <c r="K92" s="94"/>
      <c r="L92" s="94"/>
      <c r="M92" s="94"/>
      <c r="N92" s="94"/>
      <c r="O92" s="91"/>
      <c r="P92" s="93"/>
      <c r="Q92" s="94"/>
    </row>
    <row r="93" spans="1:20" s="9" customFormat="1" ht="12" customHeight="1" x14ac:dyDescent="0.2">
      <c r="B93" s="90"/>
      <c r="C93" s="91"/>
      <c r="D93" s="92"/>
      <c r="E93" s="37"/>
      <c r="F93" s="37"/>
      <c r="G93" s="93"/>
      <c r="H93" s="94"/>
      <c r="I93" s="91"/>
      <c r="J93" s="93"/>
      <c r="K93" s="94"/>
      <c r="L93" s="94"/>
      <c r="M93" s="94"/>
      <c r="N93" s="94"/>
      <c r="O93" s="91"/>
      <c r="P93" s="93"/>
      <c r="Q93" s="94"/>
    </row>
    <row r="94" spans="1:20" s="9" customFormat="1" ht="12" customHeight="1" x14ac:dyDescent="0.2">
      <c r="B94" s="90"/>
      <c r="C94" s="91"/>
      <c r="D94" s="92"/>
      <c r="E94" s="37"/>
      <c r="F94" s="37"/>
      <c r="G94" s="93"/>
      <c r="H94" s="94"/>
      <c r="I94" s="91"/>
      <c r="J94" s="93"/>
      <c r="K94" s="94"/>
      <c r="L94" s="94"/>
      <c r="M94" s="94"/>
      <c r="N94" s="94"/>
      <c r="O94" s="91"/>
      <c r="P94" s="93"/>
      <c r="Q94" s="94"/>
    </row>
    <row r="95" spans="1:20" s="9" customFormat="1" ht="12" customHeight="1" x14ac:dyDescent="0.2">
      <c r="B95" s="90"/>
      <c r="C95" s="91"/>
      <c r="D95" s="92"/>
      <c r="E95" s="37"/>
      <c r="F95" s="37"/>
      <c r="G95" s="93"/>
      <c r="H95" s="94"/>
      <c r="I95" s="91"/>
      <c r="J95" s="93"/>
      <c r="K95" s="94"/>
      <c r="L95" s="94"/>
      <c r="M95" s="94"/>
      <c r="N95" s="94"/>
      <c r="O95" s="91"/>
      <c r="P95" s="93"/>
      <c r="Q95" s="94"/>
    </row>
    <row r="96" spans="1:20" s="9" customFormat="1" ht="12" customHeight="1" x14ac:dyDescent="0.2">
      <c r="B96" s="90"/>
      <c r="C96" s="91"/>
      <c r="D96" s="92"/>
      <c r="E96" s="37"/>
      <c r="F96" s="37"/>
      <c r="G96" s="93"/>
      <c r="H96" s="94"/>
      <c r="I96" s="91"/>
      <c r="J96" s="93"/>
      <c r="K96" s="94"/>
      <c r="L96" s="94"/>
      <c r="M96" s="94"/>
      <c r="N96" s="94"/>
      <c r="O96" s="91"/>
      <c r="P96" s="93"/>
      <c r="Q96" s="94"/>
    </row>
    <row r="97" spans="2:17" s="9" customFormat="1" ht="12" customHeight="1" x14ac:dyDescent="0.2">
      <c r="B97" s="90"/>
      <c r="C97" s="91"/>
      <c r="D97" s="92"/>
      <c r="E97" s="37"/>
      <c r="F97" s="37"/>
      <c r="G97" s="93"/>
      <c r="H97" s="94"/>
      <c r="I97" s="91"/>
      <c r="J97" s="93"/>
      <c r="K97" s="94"/>
      <c r="L97" s="94"/>
      <c r="M97" s="94"/>
      <c r="N97" s="94"/>
      <c r="O97" s="91"/>
      <c r="P97" s="93"/>
      <c r="Q97" s="94"/>
    </row>
  </sheetData>
  <mergeCells count="56">
    <mergeCell ref="R71:T71"/>
    <mergeCell ref="A70:Q70"/>
    <mergeCell ref="C71:E71"/>
    <mergeCell ref="F71:H71"/>
    <mergeCell ref="I71:K71"/>
    <mergeCell ref="O71:Q71"/>
    <mergeCell ref="L71:N71"/>
    <mergeCell ref="A86:A89"/>
    <mergeCell ref="F52:H52"/>
    <mergeCell ref="I52:K52"/>
    <mergeCell ref="O52:Q52"/>
    <mergeCell ref="A73:A85"/>
    <mergeCell ref="A54:A60"/>
    <mergeCell ref="A64:A68"/>
    <mergeCell ref="O77:Q77"/>
    <mergeCell ref="L52:N52"/>
    <mergeCell ref="A41:Q41"/>
    <mergeCell ref="C42:E42"/>
    <mergeCell ref="F42:H42"/>
    <mergeCell ref="A25:A37"/>
    <mergeCell ref="C52:E52"/>
    <mergeCell ref="I42:K42"/>
    <mergeCell ref="O42:Q42"/>
    <mergeCell ref="A44:A45"/>
    <mergeCell ref="A51:Q51"/>
    <mergeCell ref="A19:A20"/>
    <mergeCell ref="A4:A7"/>
    <mergeCell ref="A11:A14"/>
    <mergeCell ref="L2:N2"/>
    <mergeCell ref="O23:Q23"/>
    <mergeCell ref="L42:N42"/>
    <mergeCell ref="L23:N23"/>
    <mergeCell ref="C23:E23"/>
    <mergeCell ref="I23:K23"/>
    <mergeCell ref="F23:H23"/>
    <mergeCell ref="A1:Q1"/>
    <mergeCell ref="A22:Q22"/>
    <mergeCell ref="C2:E2"/>
    <mergeCell ref="F2:H2"/>
    <mergeCell ref="I2:K2"/>
    <mergeCell ref="O2:Q2"/>
    <mergeCell ref="O82:Q82"/>
    <mergeCell ref="C77:E77"/>
    <mergeCell ref="F77:H77"/>
    <mergeCell ref="I77:K77"/>
    <mergeCell ref="L77:N77"/>
    <mergeCell ref="C82:E82"/>
    <mergeCell ref="F82:H82"/>
    <mergeCell ref="I82:K82"/>
    <mergeCell ref="L82:N82"/>
    <mergeCell ref="B11:E11"/>
    <mergeCell ref="B4:E4"/>
    <mergeCell ref="C18:E18"/>
    <mergeCell ref="F18:H18"/>
    <mergeCell ref="I18:K18"/>
    <mergeCell ref="L18:N18"/>
  </mergeCells>
  <phoneticPr fontId="8" type="noConversion"/>
  <printOptions horizontalCentered="1"/>
  <pageMargins left="0.75" right="0.75" top="0.5" bottom="0.5" header="0.5" footer="0.25"/>
  <pageSetup scale="41" orientation="portrait" r:id="rId1"/>
  <headerFooter alignWithMargins="0">
    <oddFooter xml:space="preserve">&amp;R&amp;"Arial,Bold"&amp;11
</oddFooter>
  </headerFooter>
  <rowBreaks count="1" manualBreakCount="1">
    <brk id="40" max="16" man="1"/>
  </rowBreaks>
  <colBreaks count="1" manualBreakCount="1">
    <brk id="2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6E3F9-2B7B-4EC7-B871-1770A96080F5}">
  <sheetPr codeName="Sheet2"/>
  <dimension ref="A1:Q57"/>
  <sheetViews>
    <sheetView showZeros="0" tabSelected="1" zoomScaleNormal="100" workbookViewId="0">
      <selection activeCell="D1" sqref="D1:G2"/>
    </sheetView>
  </sheetViews>
  <sheetFormatPr defaultColWidth="8.85546875" defaultRowHeight="12.75" x14ac:dyDescent="0.2"/>
  <cols>
    <col min="1" max="1" width="2.28515625" style="167" customWidth="1"/>
    <col min="2" max="2" width="37.7109375" style="167" customWidth="1"/>
    <col min="3" max="3" width="17.7109375" style="167" customWidth="1"/>
    <col min="4" max="4" width="18.7109375" style="167" customWidth="1"/>
    <col min="5" max="5" width="1.7109375" style="167" customWidth="1"/>
    <col min="6" max="7" width="9.28515625" style="167" customWidth="1"/>
    <col min="8" max="8" width="2.7109375" style="167" customWidth="1"/>
    <col min="9" max="9" width="2.7109375" style="167" hidden="1" customWidth="1"/>
    <col min="10" max="10" width="22.7109375" style="167" hidden="1" customWidth="1"/>
    <col min="11" max="11" width="2.7109375" style="167" hidden="1" customWidth="1"/>
    <col min="12" max="13" width="8.7109375" style="167" hidden="1" customWidth="1"/>
    <col min="14" max="14" width="2.7109375" style="167" hidden="1" customWidth="1"/>
    <col min="15" max="16384" width="8.85546875" style="167"/>
  </cols>
  <sheetData>
    <row r="1" spans="1:17" ht="13.9" customHeight="1" x14ac:dyDescent="0.2">
      <c r="A1" s="166"/>
      <c r="B1" s="166"/>
      <c r="C1" s="372" t="s">
        <v>137</v>
      </c>
      <c r="D1" s="370"/>
      <c r="E1" s="370"/>
      <c r="F1" s="370"/>
      <c r="G1" s="370"/>
    </row>
    <row r="2" spans="1:17" s="172" customFormat="1" ht="13.9" customHeight="1" x14ac:dyDescent="0.2">
      <c r="A2" s="168"/>
      <c r="B2" s="168"/>
      <c r="C2" s="372"/>
      <c r="D2" s="371"/>
      <c r="E2" s="371"/>
      <c r="F2" s="371"/>
      <c r="G2" s="371"/>
      <c r="H2" s="169"/>
      <c r="I2" s="170"/>
    </row>
    <row r="3" spans="1:17" s="172" customFormat="1" ht="22.9" customHeight="1" thickBot="1" x14ac:dyDescent="0.25">
      <c r="A3" s="373">
        <f>D1</f>
        <v>0</v>
      </c>
      <c r="B3" s="373"/>
      <c r="C3" s="373"/>
      <c r="D3" s="373"/>
      <c r="E3" s="373"/>
      <c r="F3" s="373"/>
      <c r="G3" s="373"/>
      <c r="H3" s="169"/>
      <c r="I3" s="170"/>
      <c r="J3" s="171" t="s">
        <v>52</v>
      </c>
      <c r="L3" s="377" t="s">
        <v>53</v>
      </c>
      <c r="M3" s="378"/>
      <c r="O3" s="295" t="s">
        <v>134</v>
      </c>
    </row>
    <row r="4" spans="1:17" s="179" customFormat="1" ht="12.4" customHeight="1" x14ac:dyDescent="0.2">
      <c r="A4" s="173"/>
      <c r="B4" s="174"/>
      <c r="C4" s="175"/>
      <c r="D4" s="174"/>
      <c r="E4" s="176"/>
      <c r="F4" s="176"/>
      <c r="G4" s="177"/>
      <c r="H4" s="178"/>
      <c r="J4" s="180"/>
    </row>
    <row r="5" spans="1:17" s="179" customFormat="1" ht="13.15" customHeight="1" x14ac:dyDescent="0.2">
      <c r="A5" s="303" t="s">
        <v>32</v>
      </c>
      <c r="B5" s="181"/>
      <c r="C5" s="120"/>
      <c r="D5" s="238"/>
      <c r="E5" s="182"/>
      <c r="F5" s="183"/>
      <c r="G5" s="184"/>
      <c r="H5" s="178"/>
      <c r="J5" s="185" t="s">
        <v>33</v>
      </c>
    </row>
    <row r="6" spans="1:17" s="179" customFormat="1" ht="12.4" customHeight="1" x14ac:dyDescent="0.2">
      <c r="A6" s="186"/>
      <c r="B6" s="187"/>
      <c r="C6" s="188"/>
      <c r="D6" s="189"/>
      <c r="E6" s="190"/>
      <c r="F6" s="316" t="s">
        <v>141</v>
      </c>
      <c r="G6" s="317" t="s">
        <v>142</v>
      </c>
      <c r="H6" s="178"/>
      <c r="J6" s="185" t="s">
        <v>34</v>
      </c>
    </row>
    <row r="7" spans="1:17" s="179" customFormat="1" ht="12.4" customHeight="1" x14ac:dyDescent="0.2">
      <c r="A7" s="191"/>
      <c r="B7" s="183"/>
      <c r="D7" s="183"/>
      <c r="E7" s="183"/>
      <c r="F7" s="183"/>
      <c r="G7" s="184"/>
      <c r="H7" s="178"/>
      <c r="J7" s="185" t="s">
        <v>35</v>
      </c>
    </row>
    <row r="8" spans="1:17" s="179" customFormat="1" ht="12.4" customHeight="1" x14ac:dyDescent="0.2">
      <c r="A8" s="302">
        <f>IF(C5=0,,"School Age Care (SAC): Enter no. of SAC Rooms")</f>
        <v>0</v>
      </c>
      <c r="B8" s="194"/>
      <c r="C8" s="121"/>
      <c r="D8" s="306" t="s">
        <v>167</v>
      </c>
      <c r="E8" s="183"/>
      <c r="F8" s="329">
        <f>'Youth Center - Final 1'!$B$23*G8</f>
        <v>0</v>
      </c>
      <c r="G8" s="197">
        <f>IF(C8&gt;0,(IF(C5="Army",(C8*'Youth Center - Final 1'!H10),(IF(C5="Navy",(C8*'Youth Center - Final 1'!H17),(IF(C5="Air Force",(C8*'Youth Center - Final 1'!H10),(IF(C5="Marine Corps",(C8*'Youth Center - Final 1'!H10),)))))))))-L8</f>
        <v>0</v>
      </c>
      <c r="H8" s="178"/>
      <c r="J8" s="198" t="s">
        <v>36</v>
      </c>
      <c r="L8" s="199"/>
      <c r="M8" s="192"/>
      <c r="O8" s="179" t="s">
        <v>79</v>
      </c>
    </row>
    <row r="9" spans="1:17" s="179" customFormat="1" ht="25.15" customHeight="1" x14ac:dyDescent="0.2">
      <c r="A9" s="200"/>
      <c r="B9" s="374">
        <f>IF(C5="Army","*Army generally accommodates SAC in other facilities.  When provided, SAC program includes the no. of rooms selected + space for storage and toilets.",(IF(C5="Navy","*For Navy, SAC Program includes the number of SAC rooms selected plus appropriate space for storage.",(IF(C5="Air Force","*For Air Force, SAC Program includes the number of SAC rooms selected plus appropriate space for storage and toilets.",(IF(C5="Marine Corps","*For Marine Corps, SAC Program includes the number of SAC rooms selected plus appropriate space for storage and toilets.",)))))))</f>
        <v>0</v>
      </c>
      <c r="C9" s="374"/>
      <c r="D9" s="307"/>
      <c r="E9" s="190"/>
      <c r="F9" s="201"/>
      <c r="G9" s="202"/>
      <c r="H9" s="178"/>
      <c r="J9" s="185"/>
    </row>
    <row r="10" spans="1:17" s="179" customFormat="1" ht="12.4" customHeight="1" x14ac:dyDescent="0.2">
      <c r="A10" s="191"/>
      <c r="B10" s="183"/>
      <c r="D10" s="308"/>
      <c r="E10" s="183"/>
      <c r="F10" s="183"/>
      <c r="G10" s="184"/>
      <c r="H10" s="178"/>
      <c r="J10" s="198" t="s">
        <v>37</v>
      </c>
      <c r="L10" s="257" t="s">
        <v>127</v>
      </c>
      <c r="M10" s="257" t="s">
        <v>126</v>
      </c>
    </row>
    <row r="11" spans="1:17" s="179" customFormat="1" ht="12.4" customHeight="1" x14ac:dyDescent="0.2">
      <c r="A11" s="302">
        <f>IF(C5=0,,"Youth Program: Select Size of Youth Program")</f>
        <v>0</v>
      </c>
      <c r="B11" s="194"/>
      <c r="C11" s="121"/>
      <c r="D11" s="306" t="s">
        <v>166</v>
      </c>
      <c r="E11" s="183"/>
      <c r="F11" s="329">
        <f>'Youth Center - Final 1'!$B$23*G11</f>
        <v>0</v>
      </c>
      <c r="G11" s="203">
        <f>IF($C$11="None",,(IF($C$11="Up to 60 Youth",'Youth Center - Final 1'!$H$40,(IF($C$11="61 to 90 Youth",'Youth Center - Final 1'!$K$40,(IF($C$11="91 to 135 Youth",'Youth Center - Final 1'!$N$40,(IF($C$11="136 to 155 Youth",'Youth Center - Final 1'!$Q$40,)))))))))-L11-M11</f>
        <v>0</v>
      </c>
      <c r="H11" s="178"/>
      <c r="J11" s="198" t="s">
        <v>100</v>
      </c>
      <c r="L11" s="199" t="b">
        <f>IF($C$5="Navy",(IF($C$11="Up to 60 Youth",((('Youth Center - Final 1'!$H$30*1.1)+'Youth Center - Final 1'!H33)*(1+'Youth Center - Final 1'!$F$39)),(IF($C$11="61 to 90 Youth",((('Youth Center - Final 1'!$K$30*1.1)+'Youth Center - Final 1'!K33)*(1+'Youth Center - Final 1'!$I$39)),(IF($C$11="91 to 135 Youth",((('Youth Center - Final 1'!$N$30*1.1)+'Youth Center - Final 1'!N33)*(1+'Youth Center - Final 1'!$L$39)),(IF($C$11="136 to 155 Youth",((('Youth Center - Final 1'!$Q$30*1.1)+'Youth Center - Final 1'!Q33)*(1+'Youth Center - Final 1'!$O$39)))))))))),(IF($C$5="Army",(IF($C$11="Up to 60 Youth",(('Youth Center - Final 1'!H34)*(1+'Youth Center - Final 1'!$F$39)),(IF($C$11="61 to 90 Youth",(('Youth Center - Final 1'!K34-525)*(1+'Youth Center - Final 1'!$I$39)),(IF($C$11="91 to 135 Youth",(('Youth Center - Final 1'!N34-525)*(1+'Youth Center - Final 1'!$L$39)),(IF($C$11="136 to 155 Youth",(('Youth Center - Final 1'!Q34-525)*(1+'Youth Center - Final 1'!$O$39)))))))))))))</f>
        <v>0</v>
      </c>
      <c r="M11" s="199" t="b">
        <f>IF($C$5="Air Force",(IF($C$11="Up to 60 Youth",('Youth Center - Final 1'!H34*(1+'Youth Center - Final 1'!$F$39)),(IF($C$11="61 to 90 Youth",('Youth Center - Final 1'!K34*(1+'Youth Center - Final 1'!$I$39)),(IF($C$11="91 to 135 Youth",('Youth Center - Final 1'!N34*(1+'Youth Center - Final 1'!$L$39)),(IF($C$11="136 to 155 Youth",('Youth Center - Final 1'!Q34*(1+'Youth Center - Final 1'!$O$39)))))))))),(IF($C$5="Marine Corps",(IF($C$11="Up to 60 Youth",('Youth Center - Final 1'!H34*(1+'Youth Center - Final 1'!$F$39)),(IF($C$11="61 to 90 Youth",('Youth Center - Final 1'!K34*(1+'Youth Center - Final 1'!$I$39)),(IF($C$11="91 to 135 Youth",('Youth Center - Final 1'!N34*(1+'Youth Center - Final 1'!$L$39)),(IF($C$11="136 to 155 Youth",('Youth Center - Final 1'!Q34*(1+'Youth Center - Final 1'!$O$39)))))))))))))</f>
        <v>0</v>
      </c>
      <c r="O11" s="172" t="s">
        <v>161</v>
      </c>
      <c r="P11" s="172"/>
      <c r="Q11" s="172"/>
    </row>
    <row r="12" spans="1:17" s="179" customFormat="1" ht="25.15" customHeight="1" x14ac:dyDescent="0.2">
      <c r="A12" s="200"/>
      <c r="B12" s="374">
        <f>IF(C5="Navy","*The Navy Youth program deletes the space allowance for vending machines and the activity room storage closet is smaller.",(IF(C5="Army","*The Army Youth program adds an additional, dedicated homework room, except for small programs where it is combined with the comoputer room.",)))</f>
        <v>0</v>
      </c>
      <c r="C12" s="374"/>
      <c r="D12" s="307"/>
      <c r="E12" s="190"/>
      <c r="F12" s="201"/>
      <c r="G12" s="202"/>
      <c r="H12" s="178"/>
      <c r="J12" s="198" t="s">
        <v>101</v>
      </c>
      <c r="L12" s="249"/>
      <c r="O12" s="296" t="s">
        <v>136</v>
      </c>
    </row>
    <row r="13" spans="1:17" s="179" customFormat="1" ht="12.4" customHeight="1" x14ac:dyDescent="0.2">
      <c r="A13" s="191"/>
      <c r="B13" s="183"/>
      <c r="D13" s="308"/>
      <c r="E13" s="183"/>
      <c r="F13" s="183"/>
      <c r="G13" s="184"/>
      <c r="H13" s="178"/>
      <c r="J13" s="198" t="s">
        <v>102</v>
      </c>
    </row>
    <row r="14" spans="1:17" s="179" customFormat="1" ht="12.4" customHeight="1" x14ac:dyDescent="0.2">
      <c r="A14" s="302">
        <f>IF($C$5=0,,"Teen Program: Select Size of Teen Program")</f>
        <v>0</v>
      </c>
      <c r="B14" s="194"/>
      <c r="C14" s="121"/>
      <c r="D14" s="306" t="s">
        <v>165</v>
      </c>
      <c r="E14" s="183"/>
      <c r="F14" s="329">
        <f>'Youth Center - Final 1'!$B$23*G14</f>
        <v>0</v>
      </c>
      <c r="G14" s="203">
        <f>IF($C$14="None",,(IF($C$14="Up to 15 Teens",'Youth Center - Final 1'!$H$48,(IF($C$14="16 to 30 Teens",'Youth Center - Final 1'!$K$48,(IF($C$14="31 to 45 Teens",'Youth Center - Final 1'!$N$48,(IF($C$14="46 to 60 Teens",'Youth Center - Final 1'!$Q$48,)))))))))-L14</f>
        <v>0</v>
      </c>
      <c r="H14" s="178"/>
      <c r="J14" s="198" t="s">
        <v>103</v>
      </c>
      <c r="L14" s="204"/>
      <c r="O14" s="179" t="s">
        <v>70</v>
      </c>
    </row>
    <row r="15" spans="1:17" s="179" customFormat="1" ht="12.4" customHeight="1" x14ac:dyDescent="0.2">
      <c r="A15" s="205"/>
      <c r="B15" s="369"/>
      <c r="C15" s="369"/>
      <c r="D15" s="307"/>
      <c r="E15" s="190"/>
      <c r="F15" s="201"/>
      <c r="G15" s="202"/>
      <c r="H15" s="178"/>
      <c r="J15" s="198"/>
    </row>
    <row r="16" spans="1:17" s="179" customFormat="1" ht="12.4" customHeight="1" x14ac:dyDescent="0.2">
      <c r="A16" s="305">
        <f>IF($C$5=0,,"Additional Spaces and Options")</f>
        <v>0</v>
      </c>
      <c r="B16" s="206"/>
      <c r="C16" s="207"/>
      <c r="D16" s="309"/>
      <c r="E16" s="208"/>
      <c r="F16" s="209"/>
      <c r="G16" s="210"/>
      <c r="H16" s="178"/>
      <c r="J16" s="198" t="s">
        <v>37</v>
      </c>
    </row>
    <row r="17" spans="1:15" s="179" customFormat="1" ht="12.4" customHeight="1" x14ac:dyDescent="0.2">
      <c r="A17" s="193"/>
      <c r="B17" s="194"/>
      <c r="C17" s="195"/>
      <c r="D17" s="306"/>
      <c r="E17" s="183"/>
      <c r="F17" s="211"/>
      <c r="G17" s="212"/>
      <c r="H17" s="178"/>
      <c r="J17" s="198" t="s">
        <v>96</v>
      </c>
      <c r="L17" s="257" t="s">
        <v>127</v>
      </c>
      <c r="M17" s="257" t="s">
        <v>126</v>
      </c>
      <c r="N17" s="172"/>
      <c r="O17" s="172"/>
    </row>
    <row r="18" spans="1:15" s="179" customFormat="1" ht="12.4" customHeight="1" x14ac:dyDescent="0.2">
      <c r="A18" s="191"/>
      <c r="B18" s="300">
        <f>IF(C5=0,,"Select Size of Multipurpose Room")</f>
        <v>0</v>
      </c>
      <c r="C18" s="251"/>
      <c r="D18" s="306" t="s">
        <v>118</v>
      </c>
      <c r="E18" s="213"/>
      <c r="F18" s="329">
        <f>'Youth Center - Final 1'!$B$23*G18</f>
        <v>0</v>
      </c>
      <c r="G18" s="256">
        <f>IF($C$5="Army",$L$18,(IF($C$5="Navy",$L$18,(IF($C$5="Air Force",$M$18,(IF($C$5="Marine Corps",$M$18,)))))))</f>
        <v>0</v>
      </c>
      <c r="H18" s="178"/>
      <c r="J18" s="198" t="s">
        <v>99</v>
      </c>
      <c r="L18" s="255" t="b">
        <f>IF($C$5="Army",(IF($C$18="None",,(IF($C$18="1. Small multipurpose room",'Youth Center - Final 1'!$T$76,(IF($C$18="2. Half-court w/o bleachers",'Youth Center - Final 1'!$H$76,(IF($C$18="3. Half-court w/ bleachers",'Youth Center - Final 1'!$K$76,(IF($C$18="4. Full-court w/ bleachers",'Youth Center - Final 1'!$N$76,(IF($C$18="5. NCAA full-ct w/ bleachers",'Youth Center - Final 1'!$Q$76,)))))))))))),(IF($C$5="Navy",(IF($C$18="None",,(IF($C$18="1. Small multipurpose room",'Youth Center - Final 1'!$T$76,(IF($C$18="2. Half-court w/o bleachers",'Youth Center - Final 1'!$H$76,(IF($C$18="3. Half-court w/ bleachers",'Youth Center - Final 1'!$K$76,(IF($C$18="4. Full-court w/ bleachers",'Youth Center - Final 1'!$N$76,(IF($C$18="5. NCAA full-ct w/ bleachers","See *",)))))))))))))))</f>
        <v>0</v>
      </c>
      <c r="M18" s="255" t="b">
        <f>IF($C$5="Air Force",(IF($C$18="None",,(IF($C$18="1. Small multipurpose room","See *",(IF($C$18="2. Half-court w/o bleachers",'Youth Center - Final 1'!$H$76,(IF($C$18="3. Half-court w/ bleachers",'Youth Center - Final 1'!$K$76,(IF($C$18="4. Full-court w/ bleachers",'Youth Center - Final 1'!$N$76,(IF($C$18="5. NCAA full-ct w/ bleachers","See *",)))))))))))),(IF($C$5="Marine Corps",(IF($C$18="None",,(IF($C$18="1. Small multipurpose room","See *",(IF($C$18="2. Half-court w/o bleachers",'Youth Center - Final 1'!$H$76,(IF($C$18="3. Half-court w/ bleachers",'Youth Center - Final 1'!$K$76,(IF($C$18="4. Full-court w/ bleachers",'Youth Center - Final 1'!$N$76,(IF($C$18="5. NCAA full-ct w/ bleachers","See *",)))))))))))))))</f>
        <v>0</v>
      </c>
      <c r="N18" s="172"/>
      <c r="O18" s="258" t="s">
        <v>135</v>
      </c>
    </row>
    <row r="19" spans="1:15" s="179" customFormat="1" ht="25.15" customHeight="1" x14ac:dyDescent="0.2">
      <c r="A19" s="191"/>
      <c r="B19" s="380">
        <f>IF(C5="Army","*Army options include items 1 through 5.",(IF(C5="Navy","*Navy options include items 1 through 4.",(IF(C5="Air Force","*Air Force options include items 2 through 4.",(IF(C5="Marine Corps","*Marine Corps options include items 2 through 4.",)))))))</f>
        <v>0</v>
      </c>
      <c r="C19" s="380"/>
      <c r="D19" s="306"/>
      <c r="E19" s="196"/>
      <c r="F19" s="211"/>
      <c r="G19" s="212"/>
      <c r="H19" s="178"/>
      <c r="J19" s="185" t="s">
        <v>97</v>
      </c>
      <c r="L19" s="172"/>
      <c r="M19" s="172"/>
      <c r="N19" s="172"/>
      <c r="O19" s="172"/>
    </row>
    <row r="20" spans="1:15" s="179" customFormat="1" ht="12.4" customHeight="1" x14ac:dyDescent="0.2">
      <c r="A20" s="191"/>
      <c r="B20" s="298">
        <f>IF(C5=0,,(IF(C5="Navy","Kitchen is not normally permitted for Navy","Select Kitchen size")))</f>
        <v>0</v>
      </c>
      <c r="C20" s="121"/>
      <c r="D20" s="306" t="str">
        <f>IF(C5="Navy",,"Kitchen")</f>
        <v>Kitchen</v>
      </c>
      <c r="E20" s="183"/>
      <c r="F20" s="329">
        <f>'Youth Center - Final 1'!$B$23*G20</f>
        <v>0</v>
      </c>
      <c r="G20" s="203">
        <f>IF($C$20="None",,(IF($C$20="Small",'Youth Center - Final 1'!H81,(IF($C$20="Large",'Youth Center - Final 1'!K81,)))))</f>
        <v>0</v>
      </c>
      <c r="H20" s="178"/>
      <c r="J20" s="198" t="s">
        <v>98</v>
      </c>
      <c r="L20" s="204"/>
      <c r="O20" s="172" t="s">
        <v>169</v>
      </c>
    </row>
    <row r="21" spans="1:15" s="179" customFormat="1" ht="12.4" customHeight="1" x14ac:dyDescent="0.2">
      <c r="A21" s="191"/>
      <c r="B21" s="382"/>
      <c r="C21" s="382"/>
      <c r="D21" s="308"/>
      <c r="E21" s="183"/>
      <c r="F21" s="190"/>
      <c r="G21" s="214"/>
      <c r="H21" s="178"/>
      <c r="J21" s="185"/>
    </row>
    <row r="22" spans="1:15" s="179" customFormat="1" ht="12.4" customHeight="1" x14ac:dyDescent="0.2">
      <c r="A22" s="191"/>
      <c r="B22" s="298">
        <f>IF(C5=0,,"Select Music Room option (no. of rooms)")</f>
        <v>0</v>
      </c>
      <c r="C22" s="122"/>
      <c r="D22" s="306" t="s">
        <v>63</v>
      </c>
      <c r="E22" s="183"/>
      <c r="F22" s="330">
        <f>'Youth Center - Final 1'!$B$23*G22</f>
        <v>0</v>
      </c>
      <c r="G22" s="203">
        <f>IF($C$22="None",,(IF($C$22="1 room",'Youth Center - Final 1'!$H$85,(IF($C$22="2 rooms",'Youth Center - Final 1'!$K$85,(IF($C$22="3 rooms",'Youth Center - Final 1'!$N$85,)))))))-L22</f>
        <v>0</v>
      </c>
      <c r="H22" s="178"/>
      <c r="J22" s="198" t="s">
        <v>38</v>
      </c>
      <c r="L22" s="204"/>
      <c r="O22" s="179" t="s">
        <v>70</v>
      </c>
    </row>
    <row r="23" spans="1:15" s="179" customFormat="1" ht="12.4" customHeight="1" x14ac:dyDescent="0.2">
      <c r="A23" s="191"/>
      <c r="B23" s="383"/>
      <c r="C23" s="383"/>
      <c r="D23" s="308"/>
      <c r="E23" s="183"/>
      <c r="F23" s="190"/>
      <c r="G23" s="214"/>
      <c r="H23" s="178"/>
      <c r="J23" s="198" t="s">
        <v>39</v>
      </c>
    </row>
    <row r="24" spans="1:15" s="179" customFormat="1" ht="12.4" customHeight="1" x14ac:dyDescent="0.2">
      <c r="A24" s="191"/>
      <c r="B24" s="298">
        <f>IF(C5=0,,(IF(C5="Navy","Parent Waiting is not permitted for Navy","Select Additional Parent Waiting option")))</f>
        <v>0</v>
      </c>
      <c r="C24" s="121"/>
      <c r="D24" s="306" t="str">
        <f>IF(C5="Navy",,"Parent Waiting")</f>
        <v>Parent Waiting</v>
      </c>
      <c r="E24" s="183"/>
      <c r="F24" s="330">
        <f>'Youth Center - Final 1'!$B$23*G24</f>
        <v>0</v>
      </c>
      <c r="G24" s="197">
        <f>IF(C5="Navy",,(IF($C$24=0,,(IF($C$24="No",,(IF($C$11="Up to 60 Youth",'Youth Center - Final 1'!$H$84,(IF($C$11="61 to 90 Youth",'Youth Center - Final 1'!$K$84,(IF($C$11="91 to 135 Youth",'Youth Center - Final 1'!$Q$84,(IF($C$11="136 to 155 Youth",'Youth Center - Final 1'!$Q$84,(IF(C11=0,"See *","See *")))))))))))))))</f>
        <v>0</v>
      </c>
      <c r="H24" s="178"/>
      <c r="J24" s="185"/>
      <c r="L24" s="204"/>
      <c r="O24" s="172" t="s">
        <v>133</v>
      </c>
    </row>
    <row r="25" spans="1:15" s="179" customFormat="1" ht="25.15" customHeight="1" x14ac:dyDescent="0.2">
      <c r="A25" s="193"/>
      <c r="B25" s="380">
        <f>IF(C5=0,,(IF(C5="Navy",,"*This is an additional waiting area located near the Activity Rooms and is in addition to the lobby waiting area.  Requires Youth Program selection.")))</f>
        <v>0</v>
      </c>
      <c r="C25" s="380"/>
      <c r="D25" s="308"/>
      <c r="E25" s="183"/>
      <c r="F25" s="190"/>
      <c r="G25" s="214"/>
      <c r="H25" s="178"/>
      <c r="J25" s="185" t="s">
        <v>37</v>
      </c>
    </row>
    <row r="26" spans="1:15" s="179" customFormat="1" ht="12.4" customHeight="1" x14ac:dyDescent="0.2">
      <c r="A26" s="215"/>
      <c r="B26" s="298">
        <f>IF(C5=0,,(IF(C5="Navy","Laundry Rm not normally permitted for Navy","Select Laundry Room option")))</f>
        <v>0</v>
      </c>
      <c r="C26" s="121"/>
      <c r="D26" s="306" t="s">
        <v>25</v>
      </c>
      <c r="E26" s="183"/>
      <c r="F26" s="330">
        <f>'Youth Center - Final 1'!$B$23*G26</f>
        <v>0</v>
      </c>
      <c r="G26" s="197">
        <f>IF($C$26="None",,(IF($C$26="One-washer Room",'Youth Center - Final 1'!H83,(IF($C$26="Two-washer Room",'Youth Center - Final 1'!N83,)))))-L26</f>
        <v>0</v>
      </c>
      <c r="H26" s="178"/>
      <c r="J26" s="185" t="s">
        <v>62</v>
      </c>
      <c r="L26" s="204"/>
      <c r="O26" s="172" t="s">
        <v>169</v>
      </c>
    </row>
    <row r="27" spans="1:15" s="179" customFormat="1" ht="25.15" customHeight="1" x14ac:dyDescent="0.2">
      <c r="A27" s="200"/>
      <c r="B27" s="381">
        <f>IF(C5=0,,"*A One-washer Room includes one washing machine and two dryers.
A Two-washer Room includes two washing machines and three dryers.")</f>
        <v>0</v>
      </c>
      <c r="C27" s="381"/>
      <c r="D27" s="310"/>
      <c r="E27" s="190"/>
      <c r="F27" s="190"/>
      <c r="G27" s="214"/>
      <c r="H27" s="178"/>
      <c r="J27" s="185" t="s">
        <v>64</v>
      </c>
    </row>
    <row r="28" spans="1:15" s="179" customFormat="1" ht="12.4" customHeight="1" x14ac:dyDescent="0.2">
      <c r="A28" s="304">
        <f>IF(C5=0,,"Administrative Area")</f>
        <v>0</v>
      </c>
      <c r="B28" s="194"/>
      <c r="C28" s="195"/>
      <c r="D28" s="308"/>
      <c r="E28" s="183"/>
      <c r="F28" s="183"/>
      <c r="G28" s="184"/>
      <c r="H28" s="178"/>
      <c r="J28" s="185" t="s">
        <v>65</v>
      </c>
    </row>
    <row r="29" spans="1:15" s="179" customFormat="1" ht="12.4" customHeight="1" x14ac:dyDescent="0.2">
      <c r="A29" s="191"/>
      <c r="B29" s="183"/>
      <c r="C29" s="195"/>
      <c r="D29" s="308"/>
      <c r="E29" s="183"/>
      <c r="F29" s="183"/>
      <c r="G29" s="184"/>
      <c r="H29" s="178"/>
      <c r="J29" s="185"/>
    </row>
    <row r="30" spans="1:15" s="179" customFormat="1" ht="12.4" customHeight="1" x14ac:dyDescent="0.2">
      <c r="A30" s="191"/>
      <c r="B30" s="298">
        <f>IF(C5=0,,"Select Size of General Admin. Area")</f>
        <v>0</v>
      </c>
      <c r="C30" s="121"/>
      <c r="D30" s="306" t="s">
        <v>140</v>
      </c>
      <c r="E30" s="183"/>
      <c r="F30" s="329">
        <f>'Youth Center - Final 1'!$B$23*G30</f>
        <v>0</v>
      </c>
      <c r="G30" s="203">
        <f>IF($C$30="Small",'Youth Center - Final 1'!$H$63,(IF($C$30="Medium",'Youth Center - Final 1'!$K$63,(IF($C$30="Large",'Youth Center - Final 1'!$N$63,(IF($C$30="Extra Large",'Youth Center - Final 1'!$Q$63,)))))))</f>
        <v>0</v>
      </c>
      <c r="H30" s="178"/>
      <c r="J30" s="198" t="s">
        <v>37</v>
      </c>
      <c r="L30" s="204"/>
      <c r="O30" s="179" t="s">
        <v>70</v>
      </c>
    </row>
    <row r="31" spans="1:15" s="179" customFormat="1" ht="12.4" customHeight="1" x14ac:dyDescent="0.2">
      <c r="A31" s="191"/>
      <c r="B31" s="183"/>
      <c r="C31" s="195"/>
      <c r="D31" s="308"/>
      <c r="E31" s="183"/>
      <c r="F31" s="183"/>
      <c r="G31" s="184"/>
      <c r="H31" s="178"/>
      <c r="J31" s="198" t="s">
        <v>121</v>
      </c>
    </row>
    <row r="32" spans="1:15" s="179" customFormat="1" ht="12.4" customHeight="1" x14ac:dyDescent="0.2">
      <c r="A32" s="191"/>
      <c r="B32" s="298">
        <f>IF(C5=0,,"Office Requirements")</f>
        <v>0</v>
      </c>
      <c r="C32" s="195"/>
      <c r="D32" s="308"/>
      <c r="E32" s="183"/>
      <c r="F32" s="183"/>
      <c r="G32" s="184"/>
      <c r="H32" s="178"/>
      <c r="J32" s="198" t="s">
        <v>104</v>
      </c>
    </row>
    <row r="33" spans="1:17" s="179" customFormat="1" ht="12.4" customHeight="1" x14ac:dyDescent="0.2">
      <c r="A33" s="191"/>
      <c r="B33" s="318">
        <f>IF(C5=0,,"Enter no. of private offices required:")</f>
        <v>0</v>
      </c>
      <c r="C33" s="121"/>
      <c r="D33" s="306" t="s">
        <v>66</v>
      </c>
      <c r="E33" s="183"/>
      <c r="F33" s="329">
        <f>'Youth Center - Final 1'!$B$23*G33</f>
        <v>0</v>
      </c>
      <c r="G33" s="327">
        <f>IF(C5="Navy",L33,(C33*120*(1+'Youth Center - Final 1'!F62)))</f>
        <v>0</v>
      </c>
      <c r="H33" s="178"/>
      <c r="J33" s="198" t="s">
        <v>105</v>
      </c>
      <c r="L33" s="324">
        <f>IF(C30="Small",IF(C33&lt;2,M33,"See *"),(IF(C30="Medium",IF(C33&lt;3,M33,"See *"),(IF(C30="Large",IF(C33&lt;3,M33,"See *"),(IF(C30="Extra Large",IF(C33&lt;4,M33,"See *"),)))))))</f>
        <v>0</v>
      </c>
      <c r="M33" s="324">
        <f>(C33*120*(1+'Youth Center - Final 1'!F62))</f>
        <v>0</v>
      </c>
      <c r="O33" s="179" t="s">
        <v>168</v>
      </c>
      <c r="Q33" s="249"/>
    </row>
    <row r="34" spans="1:17" s="179" customFormat="1" ht="12.4" customHeight="1" x14ac:dyDescent="0.2">
      <c r="A34" s="191"/>
      <c r="B34" s="318">
        <f>IF(C5=0,,"Enter no. of workstations required:")</f>
        <v>0</v>
      </c>
      <c r="C34" s="121"/>
      <c r="D34" s="306" t="s">
        <v>71</v>
      </c>
      <c r="E34" s="183"/>
      <c r="F34" s="329">
        <f>'Youth Center - Final 1'!$B$23*G34</f>
        <v>0</v>
      </c>
      <c r="G34" s="328">
        <f>C34*48*(1+'Youth Center - Final 1'!F62)</f>
        <v>0</v>
      </c>
      <c r="H34" s="178"/>
      <c r="J34" s="198" t="s">
        <v>106</v>
      </c>
      <c r="L34" s="204"/>
      <c r="O34" s="179" t="s">
        <v>70</v>
      </c>
    </row>
    <row r="35" spans="1:17" s="179" customFormat="1" ht="12.4" customHeight="1" x14ac:dyDescent="0.2">
      <c r="A35" s="191"/>
      <c r="B35" s="375">
        <f>IF(C5="Navy","*Navy limits private offices:  Small Admin. gets 1 office. Medium gets 1 or 2. Large gets 2. Ex. Large gets 2 or 3. See Section 2-1.6 for more details.",)</f>
        <v>0</v>
      </c>
      <c r="C35" s="325"/>
      <c r="D35" s="306"/>
      <c r="E35" s="183"/>
      <c r="F35" s="211"/>
      <c r="G35" s="216"/>
      <c r="H35" s="178"/>
      <c r="J35" s="198" t="s">
        <v>107</v>
      </c>
    </row>
    <row r="36" spans="1:17" ht="12.4" customHeight="1" x14ac:dyDescent="0.2">
      <c r="A36" s="217"/>
      <c r="B36" s="375"/>
      <c r="C36" s="325"/>
      <c r="D36" s="311" t="s">
        <v>139</v>
      </c>
      <c r="E36" s="219"/>
      <c r="F36" s="220">
        <f>SUM(F30:F35)</f>
        <v>0</v>
      </c>
      <c r="G36" s="322">
        <f>SUM(G30:G35)</f>
        <v>0</v>
      </c>
      <c r="J36" s="252"/>
    </row>
    <row r="37" spans="1:17" ht="12.4" customHeight="1" x14ac:dyDescent="0.2">
      <c r="A37" s="221"/>
      <c r="B37" s="376"/>
      <c r="C37" s="326"/>
      <c r="D37" s="312"/>
      <c r="E37" s="222"/>
      <c r="F37" s="223"/>
      <c r="G37" s="224"/>
      <c r="J37" s="198" t="s">
        <v>37</v>
      </c>
    </row>
    <row r="38" spans="1:17" ht="12.4" customHeight="1" x14ac:dyDescent="0.2">
      <c r="A38" s="217"/>
      <c r="B38" s="219"/>
      <c r="C38" s="219"/>
      <c r="D38" s="313"/>
      <c r="E38" s="219"/>
      <c r="F38" s="219"/>
      <c r="G38" s="225"/>
      <c r="J38" s="198" t="s">
        <v>119</v>
      </c>
    </row>
    <row r="39" spans="1:17" ht="12.4" customHeight="1" x14ac:dyDescent="0.2">
      <c r="A39" s="217"/>
      <c r="B39" s="219"/>
      <c r="C39" s="219"/>
      <c r="D39" s="311" t="s">
        <v>73</v>
      </c>
      <c r="E39" s="219"/>
      <c r="F39" s="323">
        <f>ROUND('Youth Center - Final 1'!$B$23*G39,0)</f>
        <v>0</v>
      </c>
      <c r="G39" s="233">
        <f>ROUND(G8+G11+G14+G18+G20+G22+G24+G26+G36,0)</f>
        <v>0</v>
      </c>
      <c r="J39" s="198" t="s">
        <v>120</v>
      </c>
    </row>
    <row r="40" spans="1:17" ht="12.4" customHeight="1" thickBot="1" x14ac:dyDescent="0.25">
      <c r="A40" s="226"/>
      <c r="B40" s="227"/>
      <c r="C40" s="227"/>
      <c r="D40" s="314"/>
      <c r="E40" s="227"/>
      <c r="F40" s="228"/>
      <c r="G40" s="229"/>
      <c r="J40" s="253"/>
    </row>
    <row r="41" spans="1:17" ht="12.4" customHeight="1" x14ac:dyDescent="0.2">
      <c r="A41" s="304">
        <f>IF(C5=0,,"Site")</f>
        <v>0</v>
      </c>
      <c r="B41" s="219"/>
      <c r="C41" s="219"/>
      <c r="D41" s="311"/>
      <c r="E41" s="219"/>
      <c r="F41" s="230"/>
      <c r="G41" s="231"/>
      <c r="J41" s="198" t="s">
        <v>114</v>
      </c>
    </row>
    <row r="42" spans="1:17" ht="12.4" customHeight="1" x14ac:dyDescent="0.2">
      <c r="A42" s="217"/>
      <c r="B42" s="297"/>
      <c r="C42" s="219"/>
      <c r="D42" s="311"/>
      <c r="E42" s="219"/>
      <c r="F42" s="230"/>
      <c r="G42" s="231"/>
      <c r="J42" s="198" t="s">
        <v>115</v>
      </c>
    </row>
    <row r="43" spans="1:17" ht="12.4" customHeight="1" x14ac:dyDescent="0.2">
      <c r="A43" s="193"/>
      <c r="B43" s="299">
        <f>IF(C5=0,,"SAC Site Program: Tied to SAC building selection (entered above)")</f>
        <v>0</v>
      </c>
      <c r="C43" s="195"/>
      <c r="D43" s="306" t="s">
        <v>162</v>
      </c>
      <c r="E43" s="183"/>
      <c r="F43" s="329">
        <f>'Youth Center - Final 1'!$B$23*G43</f>
        <v>0</v>
      </c>
      <c r="G43" s="203">
        <f>IF(C8="",,(IF(C8=0,,(IF($C$8&lt;4,'Youth Center - Final 1'!H21,(IF($C$8&lt;7,'Youth Center - Final 1'!K21,(IF($C$8&lt;9,'Youth Center - Final 1'!N21,)))))))))</f>
        <v>0</v>
      </c>
      <c r="J43" s="198" t="s">
        <v>116</v>
      </c>
      <c r="L43" s="204"/>
      <c r="M43" s="179"/>
      <c r="N43" s="179"/>
      <c r="O43" s="179" t="s">
        <v>70</v>
      </c>
    </row>
    <row r="44" spans="1:17" ht="12.4" customHeight="1" x14ac:dyDescent="0.2">
      <c r="A44" s="217"/>
      <c r="B44" s="379"/>
      <c r="C44" s="380"/>
      <c r="D44" s="311"/>
      <c r="E44" s="219"/>
      <c r="F44" s="230"/>
      <c r="G44" s="231"/>
      <c r="J44" s="198" t="s">
        <v>117</v>
      </c>
    </row>
    <row r="45" spans="1:17" ht="12.4" customHeight="1" x14ac:dyDescent="0.2">
      <c r="A45" s="193"/>
      <c r="B45" s="301">
        <f>IF(C5=0,,(IF(C11=0,"Youth Site space not permitted without Youth Program",(IF(C11="None","Youth Site space not permitted without Youth Program",(IF(C8=0,"Youth Site is mandatory if no SAC is provided","Select Youth Site option")))))))</f>
        <v>0</v>
      </c>
      <c r="C45" s="121"/>
      <c r="D45" s="306" t="s">
        <v>163</v>
      </c>
      <c r="E45" s="183"/>
      <c r="F45" s="329">
        <f>'Youth Center - Final 1'!$B$23*G45</f>
        <v>0</v>
      </c>
      <c r="G45" s="203">
        <f>IF(C11=0,,(IF($C$11="None",,(IF(C8=0,'Youth Center - Final 1'!H88,(IF('Interactive Worksheet'!C45="Yes",'Youth Center - Final 1'!H88,)))))))</f>
        <v>0</v>
      </c>
      <c r="J45" s="253"/>
      <c r="L45" s="204"/>
      <c r="M45" s="179"/>
      <c r="N45" s="179"/>
      <c r="O45" s="179" t="s">
        <v>70</v>
      </c>
    </row>
    <row r="46" spans="1:17" ht="25.15" customHeight="1" x14ac:dyDescent="0.2">
      <c r="A46" s="217"/>
      <c r="B46" s="380">
        <f>IF(C5=0,,(IF(C11=0,,(IF(C11="None",,"*In facilities where Youth Program is provided but SAC is not, Youth Site area is mandatory. If SAC is provided, Youth Site area is optional.")))))</f>
        <v>0</v>
      </c>
      <c r="C46" s="380" t="s">
        <v>93</v>
      </c>
      <c r="D46" s="311"/>
      <c r="E46" s="219"/>
      <c r="F46" s="230"/>
      <c r="G46" s="231"/>
      <c r="J46" s="253" t="s">
        <v>37</v>
      </c>
    </row>
    <row r="47" spans="1:17" ht="12.4" customHeight="1" x14ac:dyDescent="0.2">
      <c r="A47" s="232"/>
      <c r="B47" s="300">
        <f>IF($C$5=0,,"Teen Site: Tied to Teen Program building selection (entered above)")</f>
        <v>0</v>
      </c>
      <c r="D47" s="306" t="s">
        <v>164</v>
      </c>
      <c r="E47" s="183"/>
      <c r="F47" s="329">
        <f>'Youth Center - Final 1'!$B$23*G47</f>
        <v>0</v>
      </c>
      <c r="G47" s="203">
        <f>IF($C$14=0,,(IF(C14="None",,(IF($C$14="Up to 15 Teens",'Youth Center - Final 1'!$H$50,(IF($C$14="16 to 30 Teens",'Youth Center - Final 1'!$K$50,(IF($C$14="31 to 45 Teens",'Youth Center - Final 1'!$N$50,(IF($C$14="46 to 60 Teens",'Youth Center - Final 1'!$Q$50,)))))))))))</f>
        <v>0</v>
      </c>
      <c r="J47" s="253" t="s">
        <v>114</v>
      </c>
      <c r="L47" s="204"/>
      <c r="M47" s="179"/>
      <c r="N47" s="179"/>
      <c r="O47" s="179" t="s">
        <v>70</v>
      </c>
    </row>
    <row r="48" spans="1:17" ht="12.4" customHeight="1" x14ac:dyDescent="0.2">
      <c r="A48" s="217"/>
      <c r="B48" s="219"/>
      <c r="C48" s="219"/>
      <c r="D48" s="311"/>
      <c r="E48" s="219"/>
      <c r="F48" s="230"/>
      <c r="G48" s="231"/>
      <c r="J48" s="253" t="s">
        <v>116</v>
      </c>
    </row>
    <row r="49" spans="1:15" ht="12.4" customHeight="1" x14ac:dyDescent="0.2">
      <c r="A49" s="193">
        <f>IF(C32=0,,"Select Outdoor Open Area Option")</f>
        <v>0</v>
      </c>
      <c r="B49" s="298">
        <f>IF(C5=0,,"Select Outdoor Open Area Option")</f>
        <v>0</v>
      </c>
      <c r="C49" s="121"/>
      <c r="D49" s="306" t="s">
        <v>68</v>
      </c>
      <c r="E49" s="183"/>
      <c r="F49" s="329">
        <f>'Youth Center - Final 1'!$B$23*G49</f>
        <v>0</v>
      </c>
      <c r="G49" s="203">
        <f>IF(C49="None",,(IF(C49="No",,(IF(C49="Yes",'Youth Center - Final 1'!$H$89,)))))-L49</f>
        <v>0</v>
      </c>
      <c r="L49" s="204"/>
      <c r="M49" s="179"/>
      <c r="N49" s="179"/>
      <c r="O49" s="179" t="s">
        <v>70</v>
      </c>
    </row>
    <row r="50" spans="1:15" ht="12.4" customHeight="1" x14ac:dyDescent="0.2">
      <c r="A50" s="193"/>
      <c r="B50" s="194"/>
      <c r="C50" s="195"/>
      <c r="D50" s="308"/>
      <c r="E50" s="183"/>
      <c r="F50" s="183"/>
      <c r="G50" s="184"/>
      <c r="L50" s="218"/>
      <c r="M50" s="218"/>
      <c r="N50" s="218"/>
      <c r="O50" s="218"/>
    </row>
    <row r="51" spans="1:15" ht="12.4" customHeight="1" x14ac:dyDescent="0.2">
      <c r="A51" s="193"/>
      <c r="B51" s="298">
        <f>IF(C5=0,,"Administrative: Tied to building selection (entered above)")</f>
        <v>0</v>
      </c>
      <c r="C51" s="195"/>
      <c r="D51" s="306" t="s">
        <v>138</v>
      </c>
      <c r="E51" s="183"/>
      <c r="F51" s="329">
        <f>'Youth Center - Final 1'!$B$23*G51</f>
        <v>0</v>
      </c>
      <c r="G51" s="203">
        <f>IF($C$30="Small",'Youth Center - Final 1'!$H$69,(IF($C$30="Medium",'Youth Center - Final 1'!$K$69,(IF($C$30="Large",'Youth Center - Final 1'!N69,(IF($C$30="Extra Large",'Youth Center - Final 1'!Q69,)))))))</f>
        <v>0</v>
      </c>
      <c r="L51" s="204"/>
      <c r="M51" s="179"/>
      <c r="N51" s="179"/>
      <c r="O51" s="179" t="s">
        <v>70</v>
      </c>
    </row>
    <row r="52" spans="1:15" ht="12.4" customHeight="1" x14ac:dyDescent="0.2">
      <c r="A52" s="193"/>
      <c r="B52" s="194"/>
      <c r="C52" s="195"/>
      <c r="D52" s="308"/>
      <c r="E52" s="183"/>
      <c r="F52" s="183"/>
      <c r="G52" s="184"/>
      <c r="L52" s="218"/>
      <c r="M52" s="218"/>
      <c r="N52" s="218"/>
      <c r="O52" s="218"/>
    </row>
    <row r="53" spans="1:15" ht="12.4" customHeight="1" x14ac:dyDescent="0.2">
      <c r="A53" s="217"/>
      <c r="B53" s="219"/>
      <c r="C53" s="219"/>
      <c r="D53" s="311" t="s">
        <v>72</v>
      </c>
      <c r="E53" s="219"/>
      <c r="F53" s="323">
        <f>'Youth Center - Final 1'!$B$23*G53</f>
        <v>0</v>
      </c>
      <c r="G53" s="233">
        <f>G43+G45+G47+G49+G51</f>
        <v>0</v>
      </c>
    </row>
    <row r="54" spans="1:15" ht="12.4" customHeight="1" x14ac:dyDescent="0.2">
      <c r="A54" s="221"/>
      <c r="B54" s="222"/>
      <c r="C54" s="222"/>
      <c r="D54" s="315"/>
      <c r="E54" s="222"/>
      <c r="F54" s="234"/>
      <c r="G54" s="235"/>
    </row>
    <row r="55" spans="1:15" ht="12" customHeight="1" x14ac:dyDescent="0.2">
      <c r="A55" s="217"/>
      <c r="B55" s="219"/>
      <c r="C55" s="219"/>
      <c r="D55" s="311"/>
      <c r="E55" s="219"/>
      <c r="F55" s="234"/>
      <c r="G55" s="235"/>
    </row>
    <row r="56" spans="1:15" ht="12.4" customHeight="1" x14ac:dyDescent="0.2">
      <c r="A56" s="217"/>
      <c r="B56" s="219"/>
      <c r="C56" s="219"/>
      <c r="D56" s="311" t="s">
        <v>74</v>
      </c>
      <c r="E56" s="219"/>
      <c r="F56" s="236">
        <f>F53+F39</f>
        <v>0</v>
      </c>
      <c r="G56" s="233">
        <f>G53+G39</f>
        <v>0</v>
      </c>
    </row>
    <row r="57" spans="1:15" ht="12" customHeight="1" thickBot="1" x14ac:dyDescent="0.25">
      <c r="A57" s="226"/>
      <c r="B57" s="227"/>
      <c r="C57" s="227"/>
      <c r="D57" s="227"/>
      <c r="E57" s="227"/>
      <c r="F57" s="227"/>
      <c r="G57" s="237"/>
    </row>
  </sheetData>
  <sheetProtection password="CC22" sheet="1" objects="1" scenarios="1" selectLockedCells="1"/>
  <mergeCells count="15">
    <mergeCell ref="L3:M3"/>
    <mergeCell ref="B44:C44"/>
    <mergeCell ref="B46:C46"/>
    <mergeCell ref="B25:C25"/>
    <mergeCell ref="B27:C27"/>
    <mergeCell ref="B19:C19"/>
    <mergeCell ref="B21:C21"/>
    <mergeCell ref="B23:C23"/>
    <mergeCell ref="B12:C12"/>
    <mergeCell ref="B15:C15"/>
    <mergeCell ref="D1:G2"/>
    <mergeCell ref="C1:C2"/>
    <mergeCell ref="A3:G3"/>
    <mergeCell ref="B9:C9"/>
    <mergeCell ref="B35:B37"/>
  </mergeCells>
  <phoneticPr fontId="8" type="noConversion"/>
  <conditionalFormatting sqref="G56">
    <cfRule type="cellIs" dxfId="0" priority="1" stopIfTrue="1" operator="greaterThan">
      <formula>99999</formula>
    </cfRule>
  </conditionalFormatting>
  <dataValidations count="12">
    <dataValidation type="whole" allowBlank="1" showInputMessage="1" showErrorMessage="1" errorTitle="Error" error="Quantity of rooms must be a whole number from 0 and 8." promptTitle="School-age Care Activity Rooms" prompt="Each room accomodates two ratio groups. Quantity of rooms must be from 0 and 8." sqref="C8" xr:uid="{AE5AC9FD-3DEE-497C-AE50-0D7B8A82690A}">
      <formula1>0</formula1>
      <formula2>8</formula2>
    </dataValidation>
    <dataValidation type="whole" allowBlank="1" showInputMessage="1" showErrorMessage="1" errorTitle="Error" error="Quantity of private offices must be a whole number from 0 to 5." promptTitle="Private Administrative Offices" prompt="Quantity of private offices must be from 0 to 5.  Navy imposes additional restrictions--see Section 2-1.6." sqref="C33" xr:uid="{67AC417F-8E65-4887-A353-1541627662CD}">
      <formula1>0</formula1>
      <formula2>5</formula2>
    </dataValidation>
    <dataValidation type="whole" allowBlank="1" showInputMessage="1" showErrorMessage="1" errorTitle="Error" error="Quantity of workstations must be a whole number from 0 to 8." promptTitle="Administrative Workstations" prompt="Quantity of workstations must be from 0 to 8." sqref="C34" xr:uid="{86B361F1-0110-4B02-AE7D-A4FB2D797401}">
      <formula1>0</formula1>
      <formula2>8</formula2>
    </dataValidation>
    <dataValidation type="list" allowBlank="1" showInputMessage="1" showErrorMessage="1" promptTitle="Select Service Branch" sqref="C5" xr:uid="{3B50DC1D-EA77-41BC-8CCC-F69D115DB013}">
      <formula1>$J$5:$J$8</formula1>
    </dataValidation>
    <dataValidation type="list" allowBlank="1" showInputMessage="1" showErrorMessage="1" sqref="C11" xr:uid="{8FFF1D0E-514A-4C7A-A87F-3C9D8F41E921}">
      <formula1>$J$10:$J$14</formula1>
    </dataValidation>
    <dataValidation type="list" allowBlank="1" showInputMessage="1" showErrorMessage="1" sqref="C30" xr:uid="{B568C74F-2FBB-412D-83F2-A705592421B0}">
      <formula1>$J$41:$J$44</formula1>
    </dataValidation>
    <dataValidation type="list" allowBlank="1" showInputMessage="1" showErrorMessage="1" sqref="C45 C49 C24" xr:uid="{5A330CE4-40CF-4434-ACC0-6EAD2A9ADB66}">
      <formula1>$J$22:$J$23</formula1>
    </dataValidation>
    <dataValidation type="list" allowBlank="1" showInputMessage="1" showErrorMessage="1" sqref="C22" xr:uid="{67A206D3-6462-4CD4-8BA9-85C6C9F7CB79}">
      <formula1>$J$25:$J$28</formula1>
    </dataValidation>
    <dataValidation type="list" allowBlank="1" showInputMessage="1" showErrorMessage="1" sqref="C14" xr:uid="{531EFE3B-0C6B-4015-BD49-6DC1AE0BCFAB}">
      <formula1>$J$16:$J$20</formula1>
    </dataValidation>
    <dataValidation type="list" allowBlank="1" showInputMessage="1" showErrorMessage="1" sqref="C18" xr:uid="{ECC3B82F-F3C3-4CFB-877A-9015B9E5741C}">
      <formula1>$J$30:$J$35</formula1>
    </dataValidation>
    <dataValidation type="list" allowBlank="1" showInputMessage="1" showErrorMessage="1" sqref="C26" xr:uid="{FE102782-B23B-49C2-8509-DB9B43651798}">
      <formula1>$J$37:$J$39</formula1>
    </dataValidation>
    <dataValidation type="list" allowBlank="1" showInputMessage="1" showErrorMessage="1" sqref="C20" xr:uid="{06D9AE79-FA48-4FDB-9968-7DF93C5D96E6}">
      <formula1>$J$46:$J$48</formula1>
    </dataValidation>
  </dataValidations>
  <printOptions horizontalCentered="1"/>
  <pageMargins left="0.5" right="0.5" top="0.4" bottom="0.65" header="0.5" footer="0.4"/>
  <pageSetup orientation="portrait" errors="NA" r:id="rId1"/>
  <headerFooter alignWithMargins="0">
    <oddFooter>&amp;L&amp;"Arial,Bold"Youth Centers Space Program Worksheet&amp;R&amp;"Arial,Bold"(To be used in conjunction with UFC 4-740-XX, &amp;"Arial,Bold Italic"Youth Centers)</oddFooter>
  </headerFooter>
  <cellWatches>
    <cellWatch r="C5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13" r:id="rId4" name="Button 17">
              <controlPr defaultSize="0" print="0" autoFill="0" autoPict="0" macro="[0]!StartNew">
                <anchor moveWithCells="1" sizeWithCells="1">
                  <from>
                    <xdr:col>1</xdr:col>
                    <xdr:colOff>638175</xdr:colOff>
                    <xdr:row>0</xdr:row>
                    <xdr:rowOff>28575</xdr:rowOff>
                  </from>
                  <to>
                    <xdr:col>1</xdr:col>
                    <xdr:colOff>2400300</xdr:colOff>
                    <xdr:row>1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Youth Center - Final 1</vt:lpstr>
      <vt:lpstr>Interactive Worksheet</vt:lpstr>
      <vt:lpstr>'Interactive Worksheet'!Print_Area</vt:lpstr>
      <vt:lpstr>'Youth Center - Final 1'!Print_Area</vt:lpstr>
      <vt:lpstr>'Youth Center - Final 1'!Print_Titles</vt:lpstr>
    </vt:vector>
  </TitlesOfParts>
  <Company>United StatesDepartment of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2004-03-02T18:40:51Z</cp:lastPrinted>
  <dcterms:created xsi:type="dcterms:W3CDTF">2002-08-26T01:58:30Z</dcterms:created>
  <dcterms:modified xsi:type="dcterms:W3CDTF">2024-06-06T14:59:37Z</dcterms:modified>
  <cp:category>UFC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615674802</vt:i4>
  </property>
  <property fmtid="{D5CDD505-2E9C-101B-9397-08002B2CF9AE}" pid="3" name="_EmailSubject">
    <vt:lpwstr>Youth Centers</vt:lpwstr>
  </property>
  <property fmtid="{D5CDD505-2E9C-101B-9397-08002B2CF9AE}" pid="4" name="_AuthorEmailDisplayName">
    <vt:lpwstr>Eric G. Mion</vt:lpwstr>
  </property>
  <property fmtid="{D5CDD505-2E9C-101B-9397-08002B2CF9AE}" pid="5" name="_PreviousAdHocReviewCycleID">
    <vt:i4>1444027415</vt:i4>
  </property>
  <property fmtid="{D5CDD505-2E9C-101B-9397-08002B2CF9AE}" pid="6" name="_AuthorEmail">
    <vt:lpwstr>emion@lza.com</vt:lpwstr>
  </property>
  <property fmtid="{D5CDD505-2E9C-101B-9397-08002B2CF9AE}" pid="7" name="_ReviewingToolsShownOnce">
    <vt:lpwstr/>
  </property>
</Properties>
</file>